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240" yWindow="1425" windowWidth="11280" windowHeight="6360" tabRatio="945" firstSheet="27"/>
  </bookViews>
  <sheets>
    <sheet name="Index" sheetId="1" r:id="rId1"/>
    <sheet name="Assumption" sheetId="57" r:id="rId2"/>
    <sheet name="Energy Sales" sheetId="2" r:id="rId3"/>
    <sheet name="Energy Balance" sheetId="3" r:id="rId4"/>
    <sheet name="Power Purchase Cost 2015-16" sheetId="13" r:id="rId5"/>
    <sheet name="CAGR" sheetId="4" r:id="rId6"/>
    <sheet name="Consumers" sheetId="5" r:id="rId7"/>
    <sheet name="Connected Load" sheetId="6" r:id="rId8"/>
    <sheet name="Projected Sales FY'15-16" sheetId="7" r:id="rId9"/>
    <sheet name="Total PPC" sheetId="18" r:id="rId10"/>
    <sheet name="Projected Consumers" sheetId="8" r:id="rId11"/>
    <sheet name="Power Factor" sheetId="9" r:id="rId12"/>
    <sheet name="Estd Revenue FY'15-16" sheetId="10" r:id="rId13"/>
    <sheet name="RPO" sheetId="14" r:id="rId14"/>
    <sheet name="AT&amp;C Loss" sheetId="11" r:id="rId15"/>
    <sheet name="Energy Requirement" sheetId="12" r:id="rId16"/>
    <sheet name="Transmission Loss" sheetId="15" r:id="rId17"/>
    <sheet name="Surplus Power" sheetId="16" r:id="rId18"/>
    <sheet name="Rebate" sheetId="17" r:id="rId19"/>
    <sheet name="PPAC" sheetId="19" r:id="rId20"/>
    <sheet name="O&amp;M" sheetId="20" r:id="rId21"/>
    <sheet name="Capex" sheetId="21" r:id="rId22"/>
    <sheet name="Consumer contri" sheetId="22" r:id="rId23"/>
    <sheet name="Grant" sheetId="23" r:id="rId24"/>
    <sheet name="Dep" sheetId="24" r:id="rId25"/>
    <sheet name="AAD" sheetId="25" r:id="rId26"/>
    <sheet name="MoF" sheetId="26" r:id="rId27"/>
    <sheet name="WC" sheetId="27" r:id="rId28"/>
    <sheet name="RRB" sheetId="28" r:id="rId29"/>
    <sheet name="E&amp;D" sheetId="29" r:id="rId30"/>
    <sheet name="WACC" sheetId="30" r:id="rId31"/>
    <sheet name="RoCE" sheetId="31" r:id="rId32"/>
    <sheet name="Income Tax" sheetId="32" r:id="rId33"/>
    <sheet name="NTI" sheetId="33" r:id="rId34"/>
    <sheet name="CCR" sheetId="34" r:id="rId35"/>
    <sheet name="ARR" sheetId="35" r:id="rId36"/>
    <sheet name="WR" sheetId="36" r:id="rId37"/>
    <sheet name="T1" sheetId="37" r:id="rId38"/>
    <sheet name="T2" sheetId="38" r:id="rId39"/>
    <sheet name="T3" sheetId="39" r:id="rId40"/>
    <sheet name="T4" sheetId="40" r:id="rId41"/>
    <sheet name="T5" sheetId="41" r:id="rId42"/>
    <sheet name="T6" sheetId="42" r:id="rId43"/>
    <sheet name="T7" sheetId="43" r:id="rId44"/>
    <sheet name="T8" sheetId="44" r:id="rId45"/>
    <sheet name="T9" sheetId="45" r:id="rId46"/>
    <sheet name="T10" sheetId="46" r:id="rId47"/>
    <sheet name="T11" sheetId="47" r:id="rId48"/>
    <sheet name="T12" sheetId="48" r:id="rId49"/>
    <sheet name="T13" sheetId="49" r:id="rId50"/>
    <sheet name="T14" sheetId="50" r:id="rId51"/>
    <sheet name="D1" sheetId="51" r:id="rId52"/>
    <sheet name="D2" sheetId="52" r:id="rId53"/>
    <sheet name="D3" sheetId="53" r:id="rId54"/>
    <sheet name="D4" sheetId="54" r:id="rId55"/>
    <sheet name="D5" sheetId="55" r:id="rId56"/>
    <sheet name="PN" sheetId="59" r:id="rId57"/>
  </sheets>
  <definedNames>
    <definedName name="_xlnm.Print_Area" localSheetId="1">Assumption!$B$2:$E$31</definedName>
    <definedName name="Z_9CE83D47_1940_43F4_9510_4E48915AF617_.wvu.Cols" localSheetId="3" hidden="1">'Energy Balance'!$A:$A</definedName>
  </definedNames>
  <calcPr calcId="145621"/>
  <customWorkbookViews>
    <customWorkbookView name="Saurabh Garg - Personal View" guid="{9CE83D47-1940-43F4-9510-4E48915AF617}" mergeInterval="0" personalView="1" maximized="1" windowWidth="1362" windowHeight="523" activeSheetId="41"/>
  </customWorkbookViews>
</workbook>
</file>

<file path=xl/calcChain.xml><?xml version="1.0" encoding="utf-8"?>
<calcChain xmlns="http://schemas.openxmlformats.org/spreadsheetml/2006/main">
  <c r="D52" i="48" l="1"/>
  <c r="E30" i="43"/>
  <c r="G77" i="55" l="1"/>
  <c r="H77" i="55"/>
  <c r="I76" i="55"/>
  <c r="I77" i="55" s="1"/>
  <c r="H76" i="55"/>
  <c r="G76" i="55"/>
  <c r="F76" i="55"/>
  <c r="I2" i="27"/>
  <c r="E76" i="55" l="1"/>
  <c r="E77" i="55" s="1"/>
  <c r="D76" i="55"/>
  <c r="D77" i="55" s="1"/>
  <c r="F77" i="55"/>
  <c r="F53" i="59"/>
  <c r="F54" i="59" s="1"/>
  <c r="H54" i="59" s="1"/>
  <c r="F41" i="59"/>
  <c r="F47" i="59" s="1"/>
  <c r="H47" i="59" s="1"/>
  <c r="G47" i="59" l="1"/>
  <c r="H41" i="59"/>
  <c r="G41" i="59"/>
  <c r="F62" i="59"/>
  <c r="G53" i="59"/>
  <c r="G54" i="59"/>
  <c r="H53" i="59"/>
  <c r="F56" i="59"/>
  <c r="F48" i="59"/>
  <c r="F49" i="59"/>
  <c r="F43" i="59"/>
  <c r="F45" i="59"/>
  <c r="F44" i="59"/>
  <c r="F50" i="59"/>
  <c r="F42" i="59"/>
  <c r="H49" i="55"/>
  <c r="H7" i="55"/>
  <c r="E64" i="55"/>
  <c r="E49" i="55"/>
  <c r="E40" i="55"/>
  <c r="E32" i="55"/>
  <c r="E7" i="55"/>
  <c r="D64" i="55"/>
  <c r="G49" i="55"/>
  <c r="D49" i="55"/>
  <c r="D40" i="55"/>
  <c r="D32" i="55"/>
  <c r="G7" i="55"/>
  <c r="D7" i="55"/>
  <c r="I7" i="55"/>
  <c r="F64" i="55"/>
  <c r="I49" i="55"/>
  <c r="F49" i="55"/>
  <c r="F40" i="55"/>
  <c r="F32" i="55"/>
  <c r="F7" i="55"/>
  <c r="H62" i="59" l="1"/>
  <c r="F63" i="59"/>
  <c r="H63" i="59" s="1"/>
  <c r="G43" i="59"/>
  <c r="H43" i="59"/>
  <c r="G50" i="59"/>
  <c r="H50" i="59"/>
  <c r="H49" i="59"/>
  <c r="G49" i="59"/>
  <c r="G45" i="59"/>
  <c r="H45" i="59"/>
  <c r="H42" i="59"/>
  <c r="G42" i="59"/>
  <c r="H44" i="59"/>
  <c r="G44" i="59"/>
  <c r="G48" i="59"/>
  <c r="H48" i="59"/>
  <c r="G56" i="59"/>
  <c r="F65" i="59"/>
  <c r="F57" i="59"/>
  <c r="H56" i="59"/>
  <c r="G65" i="59" l="1"/>
  <c r="H65" i="59"/>
  <c r="F67" i="59"/>
  <c r="F58" i="59"/>
  <c r="H57" i="59"/>
  <c r="G57" i="59"/>
  <c r="F41" i="53"/>
  <c r="F35" i="53"/>
  <c r="F14" i="53"/>
  <c r="F60" i="59" l="1"/>
  <c r="H58" i="59"/>
  <c r="G58" i="59"/>
  <c r="H67" i="59"/>
  <c r="G67" i="59"/>
  <c r="H60" i="59" l="1"/>
  <c r="G60" i="59"/>
  <c r="B31" i="57"/>
  <c r="F75" i="13"/>
  <c r="F73" i="13"/>
  <c r="F71" i="13"/>
  <c r="E13" i="57"/>
  <c r="F12" i="35" l="1"/>
  <c r="F18" i="28"/>
  <c r="F78" i="13"/>
  <c r="F80" i="13"/>
  <c r="I80" i="13"/>
  <c r="I79" i="13"/>
  <c r="I78" i="13"/>
  <c r="F79" i="13"/>
  <c r="D78" i="13"/>
  <c r="A99" i="1" l="1"/>
  <c r="D19" i="43" l="1"/>
  <c r="B26" i="57" l="1"/>
  <c r="B27" i="57" s="1"/>
  <c r="B28" i="57" s="1"/>
  <c r="B29" i="57" s="1"/>
  <c r="B30" i="57" s="1"/>
  <c r="B25" i="57"/>
  <c r="D27" i="38"/>
  <c r="G7" i="59" l="1"/>
  <c r="F7" i="59"/>
  <c r="F62" i="48"/>
  <c r="D11" i="11"/>
  <c r="D13" i="11"/>
  <c r="E30" i="57"/>
  <c r="F12" i="34"/>
  <c r="F16" i="34" s="1"/>
  <c r="D12" i="34"/>
  <c r="D16" i="34" s="1"/>
  <c r="F8" i="34"/>
  <c r="F7" i="34"/>
  <c r="F6" i="34"/>
  <c r="F94" i="13" l="1"/>
  <c r="G97" i="13"/>
  <c r="K41" i="6"/>
  <c r="K42" i="6"/>
  <c r="K23" i="6"/>
  <c r="K14" i="6"/>
  <c r="K10" i="6"/>
  <c r="K6" i="6"/>
  <c r="K41" i="5"/>
  <c r="K35" i="5"/>
  <c r="K23" i="5"/>
  <c r="K14" i="5"/>
  <c r="K10" i="5"/>
  <c r="K6" i="5"/>
  <c r="G23" i="3"/>
  <c r="F23" i="3"/>
  <c r="G14" i="3"/>
  <c r="F14" i="3"/>
  <c r="G11" i="3"/>
  <c r="G8" i="3"/>
  <c r="F8" i="3"/>
  <c r="E8" i="3"/>
  <c r="E25" i="57"/>
  <c r="E22" i="14"/>
  <c r="E17" i="57"/>
  <c r="E16" i="57"/>
  <c r="B23" i="57"/>
  <c r="B24" i="57" s="1"/>
  <c r="B22" i="57"/>
  <c r="B21" i="57"/>
  <c r="E12" i="38" l="1"/>
  <c r="A82" i="1" l="1"/>
  <c r="A83" i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42" i="1"/>
  <c r="A43" i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11" i="1"/>
  <c r="L10" i="18" l="1"/>
  <c r="K10" i="18"/>
  <c r="F92" i="13" l="1"/>
  <c r="F91" i="13"/>
  <c r="G92" i="13"/>
  <c r="G91" i="13"/>
  <c r="G90" i="13" s="1"/>
  <c r="E90" i="13"/>
  <c r="E97" i="13" s="1"/>
  <c r="F11" i="3" s="1"/>
  <c r="K97" i="13"/>
  <c r="J97" i="13"/>
  <c r="H97" i="13"/>
  <c r="D15" i="57" l="1"/>
  <c r="D12" i="20" s="1"/>
  <c r="E22" i="57"/>
  <c r="E21" i="57"/>
  <c r="E15" i="57"/>
  <c r="F12" i="20" s="1"/>
  <c r="F86" i="42"/>
  <c r="B24" i="59" l="1"/>
  <c r="C24" i="59"/>
  <c r="D24" i="59"/>
  <c r="E24" i="59"/>
  <c r="F24" i="59"/>
  <c r="G24" i="59"/>
  <c r="H24" i="59"/>
  <c r="D25" i="59"/>
  <c r="F25" i="59"/>
  <c r="G25" i="59"/>
  <c r="H25" i="59"/>
  <c r="B26" i="59"/>
  <c r="C26" i="59"/>
  <c r="D26" i="59"/>
  <c r="E26" i="59"/>
  <c r="B27" i="59"/>
  <c r="C27" i="59"/>
  <c r="D27" i="59"/>
  <c r="E27" i="59"/>
  <c r="B28" i="59"/>
  <c r="C28" i="59"/>
  <c r="D28" i="59"/>
  <c r="E28" i="59"/>
  <c r="C29" i="59"/>
  <c r="D29" i="59"/>
  <c r="E29" i="59"/>
  <c r="C30" i="59"/>
  <c r="D30" i="59"/>
  <c r="E30" i="59"/>
  <c r="C31" i="59"/>
  <c r="D31" i="59"/>
  <c r="E31" i="59"/>
  <c r="C32" i="59"/>
  <c r="D32" i="59"/>
  <c r="E18" i="59" l="1"/>
  <c r="E15" i="59"/>
  <c r="E13" i="59"/>
  <c r="E10" i="59"/>
  <c r="D20" i="43" l="1"/>
  <c r="F15" i="59" l="1"/>
  <c r="G6" i="59"/>
  <c r="F6" i="59"/>
  <c r="E6" i="59"/>
  <c r="L24" i="18" l="1"/>
  <c r="K20" i="18"/>
  <c r="K6" i="18"/>
  <c r="F9" i="34" l="1"/>
  <c r="F11" i="34" s="1"/>
  <c r="F13" i="34" s="1"/>
  <c r="F14" i="34" l="1"/>
  <c r="E8" i="21"/>
  <c r="E7" i="21"/>
  <c r="E24" i="57"/>
  <c r="D8" i="21" s="1"/>
  <c r="E23" i="57"/>
  <c r="D7" i="21" s="1"/>
  <c r="F24" i="20"/>
  <c r="F23" i="20"/>
  <c r="F22" i="20"/>
  <c r="D23" i="20"/>
  <c r="D22" i="20"/>
  <c r="D24" i="20" s="1"/>
  <c r="F14" i="20"/>
  <c r="F16" i="20" s="1"/>
  <c r="L14" i="18"/>
  <c r="F14" i="17"/>
  <c r="F13" i="17"/>
  <c r="F12" i="17"/>
  <c r="F8" i="17"/>
  <c r="F13" i="59" l="1"/>
  <c r="F8" i="35"/>
  <c r="F8" i="46"/>
  <c r="F8" i="24" s="1"/>
  <c r="F35" i="48"/>
  <c r="F15" i="28"/>
  <c r="F10" i="59"/>
  <c r="F7" i="35"/>
  <c r="E6" i="11"/>
  <c r="D6" i="11"/>
  <c r="E19" i="57"/>
  <c r="G5" i="12"/>
  <c r="G79" i="13"/>
  <c r="D79" i="13"/>
  <c r="G78" i="13"/>
  <c r="F9" i="14" l="1"/>
  <c r="D80" i="13"/>
  <c r="G21" i="3"/>
  <c r="E9" i="14"/>
  <c r="F21" i="3"/>
  <c r="F22" i="14" l="1"/>
  <c r="F6" i="14"/>
  <c r="F8" i="14" s="1"/>
  <c r="F10" i="14" s="1"/>
  <c r="F19" i="14"/>
  <c r="F21" i="14" s="1"/>
  <c r="L15" i="18"/>
  <c r="F23" i="14" l="1"/>
  <c r="F25" i="14" s="1"/>
  <c r="G78" i="42"/>
  <c r="G79" i="42" s="1"/>
  <c r="D79" i="42"/>
  <c r="D78" i="42"/>
  <c r="E14" i="3"/>
  <c r="E11" i="37"/>
  <c r="E10" i="37"/>
  <c r="D8" i="46" l="1"/>
  <c r="G99" i="42" l="1"/>
  <c r="D18" i="33" l="1"/>
  <c r="G15" i="59" s="1"/>
  <c r="D17" i="33"/>
  <c r="D16" i="33"/>
  <c r="D15" i="33"/>
  <c r="D14" i="33"/>
  <c r="D13" i="33"/>
  <c r="D12" i="33"/>
  <c r="D11" i="33"/>
  <c r="D10" i="33"/>
  <c r="D9" i="33"/>
  <c r="D8" i="33"/>
  <c r="D7" i="33"/>
  <c r="D6" i="33"/>
  <c r="D5" i="33"/>
  <c r="H6" i="16" l="1"/>
  <c r="E13" i="15"/>
  <c r="E12" i="15"/>
  <c r="E14" i="15" s="1"/>
  <c r="H79" i="13" l="1"/>
  <c r="E79" i="13"/>
  <c r="I75" i="13"/>
  <c r="E73" i="13"/>
  <c r="E71" i="13"/>
  <c r="L6" i="18" s="1"/>
  <c r="M6" i="18" s="1"/>
  <c r="E27" i="3"/>
  <c r="E18" i="3"/>
  <c r="E12" i="3"/>
  <c r="E11" i="3"/>
  <c r="E10" i="3"/>
  <c r="E7" i="3"/>
  <c r="E9" i="3"/>
  <c r="E13" i="3" s="1"/>
  <c r="E75" i="13" l="1"/>
  <c r="H35" i="40" l="1"/>
  <c r="H41" i="40"/>
  <c r="H39" i="40"/>
  <c r="H37" i="40"/>
  <c r="H36" i="40"/>
  <c r="H33" i="40"/>
  <c r="I73" i="13" l="1"/>
  <c r="I71" i="13"/>
  <c r="E7" i="40" l="1"/>
  <c r="G35" i="48" l="1"/>
  <c r="G37" i="48"/>
  <c r="F37" i="48"/>
  <c r="I42" i="10" l="1"/>
  <c r="G18" i="59" s="1"/>
  <c r="E55" i="7" l="1"/>
  <c r="D49" i="7"/>
  <c r="E52" i="7"/>
  <c r="E51" i="7"/>
  <c r="E50" i="7"/>
  <c r="E49" i="7"/>
  <c r="E48" i="7"/>
  <c r="I10" i="2" l="1"/>
  <c r="D11" i="51" l="1"/>
  <c r="D7" i="51"/>
  <c r="D5" i="51"/>
  <c r="D15" i="28"/>
  <c r="H11" i="16" l="1"/>
  <c r="E57" i="7"/>
  <c r="D57" i="7"/>
  <c r="F55" i="7"/>
  <c r="G42" i="7" s="1"/>
  <c r="F52" i="7"/>
  <c r="G36" i="7" s="1"/>
  <c r="F51" i="7"/>
  <c r="G24" i="7" s="1"/>
  <c r="F50" i="7"/>
  <c r="G15" i="7" s="1"/>
  <c r="F49" i="7"/>
  <c r="G11" i="7" s="1"/>
  <c r="F48" i="7"/>
  <c r="G7" i="7" s="1"/>
  <c r="E41" i="53" l="1"/>
  <c r="F41" i="10"/>
  <c r="I41" i="10"/>
  <c r="F57" i="7"/>
  <c r="E35" i="53"/>
  <c r="F35" i="10"/>
  <c r="I35" i="10"/>
  <c r="E23" i="53"/>
  <c r="I23" i="10"/>
  <c r="F23" i="10"/>
  <c r="E14" i="53"/>
  <c r="I14" i="10"/>
  <c r="F14" i="10"/>
  <c r="E10" i="53"/>
  <c r="F10" i="10"/>
  <c r="E6" i="53"/>
  <c r="I6" i="10"/>
  <c r="F6" i="10"/>
  <c r="D15" i="35"/>
  <c r="D14" i="35"/>
  <c r="D8" i="34"/>
  <c r="D6" i="22"/>
  <c r="D8" i="26" s="1"/>
  <c r="F59" i="48"/>
  <c r="F58" i="46"/>
  <c r="E28" i="46"/>
  <c r="F13" i="24" s="1"/>
  <c r="F17" i="46"/>
  <c r="F19" i="46" s="1"/>
  <c r="F20" i="46" s="1"/>
  <c r="D33" i="48"/>
  <c r="D18" i="28" l="1"/>
  <c r="F21" i="46"/>
  <c r="D41" i="53"/>
  <c r="F55" i="51"/>
  <c r="F42" i="10"/>
  <c r="D35" i="53"/>
  <c r="F49" i="51"/>
  <c r="D23" i="53"/>
  <c r="F37" i="51"/>
  <c r="D14" i="53"/>
  <c r="F28" i="51"/>
  <c r="D6" i="53"/>
  <c r="F20" i="51"/>
  <c r="F6" i="27" l="1"/>
  <c r="F7" i="27" s="1"/>
  <c r="F63" i="51"/>
  <c r="F18" i="59"/>
  <c r="D6" i="26"/>
  <c r="D8" i="24"/>
  <c r="G13" i="59"/>
  <c r="D14" i="20"/>
  <c r="D16" i="20" s="1"/>
  <c r="G10" i="59" s="1"/>
  <c r="E11" i="14"/>
  <c r="F11" i="14" s="1"/>
  <c r="F12" i="14" s="1"/>
  <c r="F27" i="14" s="1"/>
  <c r="L17" i="18" s="1"/>
  <c r="D10" i="26" l="1"/>
  <c r="D8" i="35"/>
  <c r="D7" i="35"/>
  <c r="D59" i="48"/>
  <c r="F18" i="3" l="1"/>
  <c r="E10" i="18" l="1"/>
  <c r="E7" i="18"/>
  <c r="D12" i="17" l="1"/>
  <c r="E18" i="18" s="1"/>
  <c r="D6" i="47"/>
  <c r="E13" i="50"/>
  <c r="E8" i="50"/>
  <c r="E7" i="50"/>
  <c r="D5" i="48"/>
  <c r="D14" i="17" l="1"/>
  <c r="D22" i="50"/>
  <c r="D14" i="15" l="1"/>
  <c r="G76" i="13" l="1"/>
  <c r="G75" i="13"/>
  <c r="G74" i="13"/>
  <c r="G73" i="13"/>
  <c r="G72" i="13"/>
  <c r="G71" i="13"/>
  <c r="E77" i="13"/>
  <c r="D77" i="13"/>
  <c r="F77" i="13" l="1"/>
  <c r="I77" i="13" s="1"/>
  <c r="H73" i="13"/>
  <c r="H75" i="13"/>
  <c r="G7" i="3"/>
  <c r="F7" i="3"/>
  <c r="G77" i="13"/>
  <c r="F10" i="3"/>
  <c r="D6" i="18"/>
  <c r="H71" i="13"/>
  <c r="E6" i="18" s="1"/>
  <c r="F9" i="3" l="1"/>
  <c r="D7" i="15" s="1"/>
  <c r="K14" i="18" s="1"/>
  <c r="K8" i="18" s="1"/>
  <c r="H77" i="13"/>
  <c r="F6" i="18"/>
  <c r="G10" i="3"/>
  <c r="G9" i="3"/>
  <c r="E7" i="15" s="1"/>
  <c r="D7" i="18" l="1"/>
  <c r="D8" i="18" s="1"/>
  <c r="L87" i="12"/>
  <c r="D87" i="12"/>
  <c r="D14" i="39"/>
  <c r="D41" i="40" l="1"/>
  <c r="F41" i="40"/>
  <c r="D10" i="46" l="1"/>
  <c r="F7" i="46" s="1"/>
  <c r="F7" i="24" s="1"/>
  <c r="D24" i="50"/>
  <c r="E31" i="50" s="1"/>
  <c r="F9" i="24" l="1"/>
  <c r="F10" i="46"/>
  <c r="F45" i="46"/>
  <c r="D11" i="46"/>
  <c r="D6" i="50"/>
  <c r="D12" i="50" s="1"/>
  <c r="D15" i="50" s="1"/>
  <c r="D17" i="50" s="1"/>
  <c r="D30" i="50" s="1"/>
  <c r="D32" i="50" s="1"/>
  <c r="D35" i="48"/>
  <c r="D31" i="48"/>
  <c r="D30" i="48"/>
  <c r="D6" i="48"/>
  <c r="D65" i="46"/>
  <c r="D32" i="48" s="1"/>
  <c r="D46" i="46"/>
  <c r="D45" i="46"/>
  <c r="D28" i="46"/>
  <c r="D29" i="46" s="1"/>
  <c r="D20" i="44"/>
  <c r="E29" i="43"/>
  <c r="E28" i="43"/>
  <c r="E27" i="43"/>
  <c r="E25" i="43"/>
  <c r="E24" i="43"/>
  <c r="E23" i="43"/>
  <c r="E21" i="43"/>
  <c r="E20" i="43"/>
  <c r="E19" i="43"/>
  <c r="D30" i="46" l="1"/>
  <c r="D56" i="46" s="1"/>
  <c r="F33" i="48"/>
  <c r="E27" i="46"/>
  <c r="D5" i="22"/>
  <c r="F30" i="48"/>
  <c r="F7" i="28" s="1"/>
  <c r="D37" i="48"/>
  <c r="D47" i="46"/>
  <c r="D55" i="46" s="1"/>
  <c r="D7" i="24"/>
  <c r="F46" i="46"/>
  <c r="F47" i="46" s="1"/>
  <c r="F48" i="46" s="1"/>
  <c r="F11" i="46"/>
  <c r="D34" i="48"/>
  <c r="D48" i="46"/>
  <c r="D57" i="46" l="1"/>
  <c r="D59" i="46" s="1"/>
  <c r="E9" i="50" s="1"/>
  <c r="D7" i="22"/>
  <c r="G33" i="48" s="1"/>
  <c r="F11" i="28"/>
  <c r="F12" i="24"/>
  <c r="F22" i="24" s="1"/>
  <c r="E29" i="46"/>
  <c r="F14" i="24" s="1"/>
  <c r="F23" i="24" s="1"/>
  <c r="G30" i="48"/>
  <c r="F55" i="46"/>
  <c r="D7" i="28"/>
  <c r="D9" i="24"/>
  <c r="D7" i="29"/>
  <c r="D13" i="29"/>
  <c r="C42" i="2"/>
  <c r="D74" i="46" l="1"/>
  <c r="E30" i="46"/>
  <c r="F56" i="46" s="1"/>
  <c r="D11" i="28" s="1"/>
  <c r="D66" i="46"/>
  <c r="D68" i="46" s="1"/>
  <c r="F65" i="46" s="1"/>
  <c r="E11" i="59"/>
  <c r="D36" i="48"/>
  <c r="F24" i="24"/>
  <c r="F28" i="24" s="1"/>
  <c r="D8" i="22"/>
  <c r="D12" i="24" s="1"/>
  <c r="F32" i="48"/>
  <c r="K42" i="5"/>
  <c r="F35" i="8"/>
  <c r="F23" i="8"/>
  <c r="F14" i="8"/>
  <c r="F41" i="8"/>
  <c r="F6" i="8"/>
  <c r="F7" i="7"/>
  <c r="F15" i="7"/>
  <c r="F24" i="7"/>
  <c r="F42" i="7"/>
  <c r="E42" i="7"/>
  <c r="E36" i="7"/>
  <c r="E24" i="7"/>
  <c r="E15" i="7"/>
  <c r="E7" i="7"/>
  <c r="D43" i="7"/>
  <c r="D42" i="7"/>
  <c r="D36" i="7"/>
  <c r="D24" i="7"/>
  <c r="D15" i="7"/>
  <c r="D11" i="7"/>
  <c r="D7" i="7"/>
  <c r="E41" i="4"/>
  <c r="E23" i="4"/>
  <c r="E14" i="4"/>
  <c r="E10" i="4"/>
  <c r="E6" i="4"/>
  <c r="F41" i="4"/>
  <c r="F23" i="4"/>
  <c r="F14" i="4"/>
  <c r="F10" i="4"/>
  <c r="F6" i="4"/>
  <c r="G41" i="4"/>
  <c r="G23" i="4"/>
  <c r="G14" i="4"/>
  <c r="G10" i="4"/>
  <c r="G6" i="4"/>
  <c r="H41" i="4"/>
  <c r="H23" i="4"/>
  <c r="H14" i="4"/>
  <c r="H10" i="4"/>
  <c r="E11" i="7" s="1"/>
  <c r="F11" i="7" s="1"/>
  <c r="H6" i="4"/>
  <c r="I41" i="4"/>
  <c r="I35" i="4"/>
  <c r="I23" i="4"/>
  <c r="I14" i="4"/>
  <c r="I10" i="4"/>
  <c r="I6" i="4"/>
  <c r="J41" i="4"/>
  <c r="J35" i="4"/>
  <c r="J23" i="4"/>
  <c r="J14" i="4"/>
  <c r="J10" i="4"/>
  <c r="J6" i="4"/>
  <c r="I23" i="2"/>
  <c r="F57" i="46" l="1"/>
  <c r="F59" i="46" s="1"/>
  <c r="F11" i="59" s="1"/>
  <c r="F9" i="28"/>
  <c r="D14" i="24"/>
  <c r="D23" i="24" s="1"/>
  <c r="D22" i="24"/>
  <c r="E10" i="40"/>
  <c r="I10" i="10"/>
  <c r="D10" i="53" s="1"/>
  <c r="D42" i="53" s="1"/>
  <c r="F10" i="8"/>
  <c r="F74" i="46" l="1"/>
  <c r="F9" i="35" s="1"/>
  <c r="D24" i="24"/>
  <c r="D28" i="24" s="1"/>
  <c r="F66" i="46"/>
  <c r="F68" i="46" s="1"/>
  <c r="G32" i="48" s="1"/>
  <c r="F36" i="48"/>
  <c r="F16" i="28"/>
  <c r="D16" i="28"/>
  <c r="F24" i="51"/>
  <c r="D26" i="40"/>
  <c r="D9" i="28" l="1"/>
  <c r="G11" i="59"/>
  <c r="G36" i="48"/>
  <c r="D9" i="35"/>
  <c r="F56" i="51"/>
  <c r="D63" i="51" s="1"/>
  <c r="D6" i="27"/>
  <c r="D7" i="27" s="1"/>
  <c r="F26" i="40"/>
  <c r="J42" i="6" l="1"/>
  <c r="J41" i="5"/>
  <c r="J42" i="5"/>
  <c r="G42" i="2" l="1"/>
  <c r="F42" i="2"/>
  <c r="I41" i="2"/>
  <c r="I39" i="2"/>
  <c r="I35" i="2"/>
  <c r="I42" i="2"/>
  <c r="I15" i="2"/>
  <c r="I14" i="2"/>
  <c r="I6" i="2"/>
  <c r="G10" i="2"/>
  <c r="F10" i="2"/>
  <c r="E10" i="2"/>
  <c r="E42" i="2" s="1"/>
  <c r="D10" i="2"/>
  <c r="C10" i="2"/>
  <c r="F42" i="4" l="1"/>
  <c r="J42" i="4"/>
  <c r="G42" i="4"/>
  <c r="E42" i="4"/>
  <c r="I42" i="4"/>
  <c r="H42" i="4"/>
  <c r="E43" i="7" s="1"/>
  <c r="F43" i="7" s="1"/>
  <c r="D42" i="2"/>
  <c r="J42" i="2"/>
  <c r="J10" i="2"/>
  <c r="E12" i="44"/>
  <c r="E10" i="44"/>
  <c r="D10" i="44"/>
  <c r="D12" i="44" s="1"/>
  <c r="D17" i="46"/>
  <c r="D19" i="46" s="1"/>
  <c r="D7" i="47"/>
  <c r="D12" i="18" l="1"/>
  <c r="G18" i="3"/>
  <c r="E5" i="12"/>
  <c r="F42" i="8"/>
  <c r="D21" i="46"/>
  <c r="D20" i="46"/>
  <c r="D28" i="43"/>
  <c r="D25" i="43"/>
  <c r="D21" i="43"/>
  <c r="E9" i="43"/>
  <c r="E10" i="43"/>
  <c r="G10" i="43"/>
  <c r="G9" i="43"/>
  <c r="G5" i="43"/>
  <c r="E5" i="43" s="1"/>
  <c r="D30" i="43" l="1"/>
  <c r="D27" i="43"/>
  <c r="D29" i="43" s="1"/>
  <c r="E6" i="14"/>
  <c r="D18" i="45"/>
  <c r="D11" i="45"/>
  <c r="E6" i="50" l="1"/>
  <c r="E9" i="59"/>
  <c r="E8" i="14"/>
  <c r="E19" i="14"/>
  <c r="E21" i="14" s="1"/>
  <c r="E23" i="14" s="1"/>
  <c r="E25" i="14" s="1"/>
  <c r="D106" i="42"/>
  <c r="D99" i="42"/>
  <c r="H10" i="2"/>
  <c r="E107" i="42"/>
  <c r="H99" i="42"/>
  <c r="H107" i="42" s="1"/>
  <c r="E6" i="16" s="1"/>
  <c r="F107" i="42"/>
  <c r="F101" i="42"/>
  <c r="G107" i="42"/>
  <c r="D8" i="47" s="1"/>
  <c r="D9" i="47" s="1"/>
  <c r="D10" i="47" s="1"/>
  <c r="E11" i="16" l="1"/>
  <c r="D12" i="47"/>
  <c r="F12" i="27"/>
  <c r="F8" i="28" s="1"/>
  <c r="F13" i="28" s="1"/>
  <c r="F31" i="48"/>
  <c r="F34" i="48" s="1"/>
  <c r="H42" i="2"/>
  <c r="D76" i="42"/>
  <c r="D75" i="42"/>
  <c r="D74" i="42"/>
  <c r="D73" i="42"/>
  <c r="H73" i="42" s="1"/>
  <c r="D71" i="42"/>
  <c r="H71" i="42" s="1"/>
  <c r="F92" i="42"/>
  <c r="G93" i="42"/>
  <c r="D8" i="48" l="1"/>
  <c r="D9" i="48" s="1"/>
  <c r="D10" i="48" s="1"/>
  <c r="D38" i="48"/>
  <c r="H75" i="42"/>
  <c r="H79" i="42"/>
  <c r="F76" i="41"/>
  <c r="F24" i="41"/>
  <c r="D13" i="40"/>
  <c r="D12" i="40"/>
  <c r="D8" i="40"/>
  <c r="E8" i="59" l="1"/>
  <c r="D39" i="48"/>
  <c r="D40" i="48"/>
  <c r="D41" i="48" s="1"/>
  <c r="D17" i="39"/>
  <c r="D48" i="48" l="1"/>
  <c r="D5" i="49" s="1"/>
  <c r="D47" i="48"/>
  <c r="D60" i="48"/>
  <c r="D8" i="49"/>
  <c r="D14" i="29"/>
  <c r="D16" i="29" s="1"/>
  <c r="D8" i="29"/>
  <c r="D10" i="29"/>
  <c r="D4" i="49"/>
  <c r="E16" i="38"/>
  <c r="E13" i="38"/>
  <c r="D8" i="39"/>
  <c r="E7" i="29" l="1"/>
  <c r="D11" i="29"/>
  <c r="D61" i="48"/>
  <c r="D6" i="49"/>
  <c r="D49" i="48"/>
  <c r="D7" i="49"/>
  <c r="D9" i="49" s="1"/>
  <c r="E17" i="38"/>
  <c r="E18" i="38" s="1"/>
  <c r="E14" i="38" l="1"/>
  <c r="E30" i="37"/>
  <c r="E12" i="37"/>
  <c r="D12" i="37"/>
  <c r="D11" i="37"/>
  <c r="D9" i="37" s="1"/>
  <c r="D7" i="37"/>
  <c r="D30" i="37" l="1"/>
  <c r="D17" i="29" l="1"/>
  <c r="E13" i="29"/>
  <c r="H26" i="40" l="1"/>
  <c r="H25" i="40"/>
  <c r="E15" i="3"/>
  <c r="E24" i="3" s="1"/>
  <c r="E21" i="3"/>
  <c r="F79" i="41"/>
  <c r="E6" i="40" s="1"/>
  <c r="E8" i="40" s="1"/>
  <c r="E25" i="3" l="1"/>
  <c r="E22" i="3"/>
  <c r="E11" i="40"/>
  <c r="E12" i="40" s="1"/>
  <c r="E13" i="40" s="1"/>
  <c r="E78" i="13" l="1"/>
  <c r="E80" i="13" s="1"/>
  <c r="E81" i="13" s="1"/>
  <c r="E10" i="14"/>
  <c r="E12" i="14" s="1"/>
  <c r="E27" i="14" s="1"/>
  <c r="E16" i="18" s="1"/>
  <c r="H78" i="13"/>
  <c r="H80" i="13" s="1"/>
  <c r="H81" i="13" s="1"/>
  <c r="F7" i="17" l="1"/>
  <c r="L9" i="18"/>
  <c r="L13" i="18"/>
  <c r="L16" i="18" s="1"/>
  <c r="D7" i="17"/>
  <c r="E9" i="18"/>
  <c r="G80" i="13"/>
  <c r="G81" i="13" l="1"/>
  <c r="I81" i="13" s="1"/>
  <c r="F9" i="17"/>
  <c r="L23" i="18"/>
  <c r="D81" i="13"/>
  <c r="F81" i="13" s="1"/>
  <c r="D9" i="17"/>
  <c r="E17" i="18"/>
  <c r="F8" i="59" l="1"/>
  <c r="D9" i="18"/>
  <c r="F9" i="18" s="1"/>
  <c r="K9" i="18"/>
  <c r="M9" i="18" s="1"/>
  <c r="G8" i="59"/>
  <c r="E5" i="59"/>
  <c r="E11" i="38"/>
  <c r="E15" i="38" s="1"/>
  <c r="E19" i="38"/>
  <c r="E20" i="3"/>
  <c r="E19" i="3"/>
  <c r="D18" i="57" s="1"/>
  <c r="D20" i="57" s="1"/>
  <c r="E18" i="57" l="1"/>
  <c r="G19" i="3" s="1"/>
  <c r="F19" i="3"/>
  <c r="E5" i="38"/>
  <c r="D25" i="38"/>
  <c r="E20" i="57"/>
  <c r="E7" i="11" s="1"/>
  <c r="D7" i="11"/>
  <c r="E7" i="59" l="1"/>
  <c r="D62" i="48"/>
  <c r="F22" i="3"/>
  <c r="F25" i="3" s="1"/>
  <c r="K21" i="18"/>
  <c r="G6" i="12"/>
  <c r="G7" i="12" s="1"/>
  <c r="G8" i="12" s="1"/>
  <c r="E5" i="11"/>
  <c r="D5" i="11"/>
  <c r="G22" i="3"/>
  <c r="G5" i="59" l="1"/>
  <c r="G25" i="3"/>
  <c r="K22" i="18"/>
  <c r="F5" i="59"/>
  <c r="G20" i="3"/>
  <c r="F20" i="3"/>
  <c r="D10" i="49"/>
  <c r="D11" i="49" s="1"/>
  <c r="D13" i="49" s="1"/>
  <c r="E11" i="50" s="1"/>
  <c r="E14" i="59" s="1"/>
  <c r="D63" i="48"/>
  <c r="D64" i="48" s="1"/>
  <c r="D13" i="18"/>
  <c r="D14" i="18" s="1"/>
  <c r="E6" i="12"/>
  <c r="E7" i="12" s="1"/>
  <c r="E8" i="12" s="1"/>
  <c r="E12" i="59" l="1"/>
  <c r="E10" i="50"/>
  <c r="E12" i="50" s="1"/>
  <c r="E15" i="50" s="1"/>
  <c r="E17" i="50" s="1"/>
  <c r="G12" i="3"/>
  <c r="D7" i="34" l="1"/>
  <c r="E30" i="50"/>
  <c r="E32" i="50" s="1"/>
  <c r="G27" i="3"/>
  <c r="G13" i="3"/>
  <c r="G15" i="3" s="1"/>
  <c r="G24" i="3" s="1"/>
  <c r="E8" i="15" s="1"/>
  <c r="D10" i="18" s="1"/>
  <c r="D11" i="18" s="1"/>
  <c r="E9" i="15" l="1"/>
  <c r="D15" i="18"/>
  <c r="G6" i="16"/>
  <c r="D6" i="51"/>
  <c r="D8" i="51" s="1"/>
  <c r="D9" i="34"/>
  <c r="D11" i="34" s="1"/>
  <c r="D10" i="51" l="1"/>
  <c r="D12" i="51" s="1"/>
  <c r="D13" i="34"/>
  <c r="D14" i="34" s="1"/>
  <c r="G11" i="16"/>
  <c r="I6" i="16"/>
  <c r="I11" i="16" s="1"/>
  <c r="E15" i="18" s="1"/>
  <c r="D13" i="51" l="1"/>
  <c r="E16" i="59"/>
  <c r="E17" i="59" s="1"/>
  <c r="E19" i="59" s="1"/>
  <c r="G20" i="59"/>
  <c r="E19" i="18"/>
  <c r="F15" i="18"/>
  <c r="G9" i="59" l="1"/>
  <c r="D6" i="35"/>
  <c r="D8" i="27"/>
  <c r="D9" i="27" s="1"/>
  <c r="D11" i="27" s="1"/>
  <c r="F12" i="3"/>
  <c r="F13" i="3" s="1"/>
  <c r="F15" i="3" s="1"/>
  <c r="F24" i="3" s="1"/>
  <c r="D8" i="15" s="1"/>
  <c r="F27" i="3" l="1"/>
  <c r="D6" i="16" s="1"/>
  <c r="F6" i="16" s="1"/>
  <c r="F11" i="16" s="1"/>
  <c r="L18" i="18" s="1"/>
  <c r="D11" i="16"/>
  <c r="K18" i="18" s="1"/>
  <c r="K15" i="18"/>
  <c r="K11" i="18" s="1"/>
  <c r="D9" i="15"/>
  <c r="M18" i="18" l="1"/>
  <c r="L19" i="18"/>
  <c r="F9" i="59" l="1"/>
  <c r="F6" i="35"/>
  <c r="F8" i="27"/>
  <c r="F9" i="27" s="1"/>
  <c r="F11" i="27" s="1"/>
  <c r="F13" i="27" l="1"/>
  <c r="D12" i="27"/>
  <c r="G31" i="48" l="1"/>
  <c r="G34" i="48" s="1"/>
  <c r="D8" i="28"/>
  <c r="D13" i="28" s="1"/>
  <c r="D13" i="27"/>
  <c r="F20" i="28"/>
  <c r="F38" i="48"/>
  <c r="F21" i="28" l="1"/>
  <c r="F22" i="28"/>
  <c r="F23" i="28" s="1"/>
  <c r="F11" i="31" s="1"/>
  <c r="D20" i="28"/>
  <c r="D22" i="28" s="1"/>
  <c r="D23" i="28" s="1"/>
  <c r="D11" i="31" s="1"/>
  <c r="G38" i="48"/>
  <c r="G40" i="48" s="1"/>
  <c r="G41" i="48" s="1"/>
  <c r="F40" i="48"/>
  <c r="F41" i="48" s="1"/>
  <c r="F39" i="48"/>
  <c r="D21" i="28" l="1"/>
  <c r="D6" i="32" s="1"/>
  <c r="F47" i="48"/>
  <c r="F48" i="48"/>
  <c r="F60" i="48"/>
  <c r="G39" i="48"/>
  <c r="E8" i="29"/>
  <c r="E10" i="29" s="1"/>
  <c r="E14" i="29"/>
  <c r="E16" i="29" s="1"/>
  <c r="F8" i="29" l="1"/>
  <c r="F14" i="29"/>
  <c r="F49" i="48"/>
  <c r="D8" i="32"/>
  <c r="D7" i="32"/>
  <c r="E17" i="29"/>
  <c r="F7" i="30" s="1"/>
  <c r="F7" i="31" s="1"/>
  <c r="F13" i="29"/>
  <c r="F63" i="48"/>
  <c r="F14" i="31" s="1"/>
  <c r="F61" i="48"/>
  <c r="F7" i="29"/>
  <c r="E11" i="29"/>
  <c r="F6" i="30" s="1"/>
  <c r="F6" i="31" s="1"/>
  <c r="D19" i="30" l="1"/>
  <c r="D20" i="30"/>
  <c r="F8" i="30"/>
  <c r="D21" i="30" s="1"/>
  <c r="F64" i="48"/>
  <c r="F11" i="35" s="1"/>
  <c r="F13" i="35" s="1"/>
  <c r="F16" i="35" s="1"/>
  <c r="F16" i="29"/>
  <c r="F17" i="29" s="1"/>
  <c r="D7" i="30" s="1"/>
  <c r="D7" i="31" s="1"/>
  <c r="F8" i="31"/>
  <c r="F10" i="29"/>
  <c r="F11" i="29" s="1"/>
  <c r="D6" i="30" s="1"/>
  <c r="D6" i="31" s="1"/>
  <c r="D10" i="32"/>
  <c r="D12" i="32" s="1"/>
  <c r="D14" i="32" s="1"/>
  <c r="D9" i="32"/>
  <c r="D26" i="30" l="1"/>
  <c r="F9" i="30"/>
  <c r="D22" i="30" s="1"/>
  <c r="F13" i="30"/>
  <c r="F12" i="31" s="1"/>
  <c r="F13" i="31" s="1"/>
  <c r="F15" i="31" s="1"/>
  <c r="F10" i="30"/>
  <c r="D23" i="30" s="1"/>
  <c r="D12" i="35"/>
  <c r="F14" i="59"/>
  <c r="G14" i="59"/>
  <c r="F12" i="59"/>
  <c r="F15" i="34"/>
  <c r="F17" i="34" s="1"/>
  <c r="F18" i="34" s="1"/>
  <c r="F17" i="35" s="1"/>
  <c r="F16" i="59" s="1"/>
  <c r="F17" i="59" s="1"/>
  <c r="F19" i="59" s="1"/>
  <c r="D8" i="31" l="1"/>
  <c r="F18" i="35"/>
  <c r="F62" i="51" s="1"/>
  <c r="F64" i="51" s="1"/>
  <c r="D8" i="30"/>
  <c r="D10" i="30" s="1"/>
  <c r="D13" i="30" l="1"/>
  <c r="D12" i="31" s="1"/>
  <c r="D9" i="30"/>
  <c r="D13" i="31" l="1"/>
  <c r="D15" i="31" s="1"/>
  <c r="G12" i="59" s="1"/>
  <c r="D11" i="35" l="1"/>
  <c r="D13" i="35" s="1"/>
  <c r="D16" i="35" s="1"/>
  <c r="D15" i="34" l="1"/>
  <c r="D17" i="34" s="1"/>
  <c r="D62" i="51" l="1"/>
  <c r="D64" i="51" s="1"/>
  <c r="D70" i="51" s="1"/>
  <c r="D76" i="51" s="1"/>
  <c r="F42" i="53" s="1"/>
  <c r="D18" i="34"/>
  <c r="D17" i="35" s="1"/>
  <c r="D18" i="35" l="1"/>
  <c r="G16" i="59"/>
  <c r="G17" i="59" s="1"/>
  <c r="G19" i="59" s="1"/>
  <c r="F32" i="59"/>
  <c r="H10" i="53" l="1"/>
  <c r="F27" i="59"/>
  <c r="H35" i="53"/>
  <c r="F30" i="59"/>
  <c r="F28" i="59"/>
  <c r="H14" i="53"/>
  <c r="H23" i="53"/>
  <c r="F29" i="59"/>
  <c r="F31" i="59"/>
  <c r="H41" i="53"/>
  <c r="F26" i="59"/>
  <c r="H6" i="53"/>
  <c r="H30" i="59" l="1"/>
  <c r="G35" i="53"/>
  <c r="G6" i="53"/>
  <c r="H26" i="59"/>
  <c r="H29" i="59"/>
  <c r="G23" i="53"/>
  <c r="G29" i="59" s="1"/>
  <c r="G41" i="53"/>
  <c r="H31" i="59"/>
  <c r="H28" i="59"/>
  <c r="G14" i="53"/>
  <c r="G10" i="53"/>
  <c r="H27" i="59"/>
  <c r="G28" i="59" l="1"/>
  <c r="I40" i="55"/>
  <c r="G30" i="59"/>
  <c r="I64" i="55"/>
  <c r="G27" i="59"/>
  <c r="I32" i="55"/>
  <c r="G31" i="59"/>
  <c r="G26" i="59"/>
  <c r="G42" i="53"/>
  <c r="G32" i="59" s="1"/>
  <c r="G32" i="55" l="1"/>
  <c r="G40" i="55"/>
  <c r="H40" i="55" s="1"/>
  <c r="G64" i="55"/>
  <c r="H64" i="55" s="1"/>
  <c r="H32" i="55" l="1"/>
</calcChain>
</file>

<file path=xl/comments1.xml><?xml version="1.0" encoding="utf-8"?>
<comments xmlns="http://schemas.openxmlformats.org/spreadsheetml/2006/main">
  <authors>
    <author>Rakesh Jha</author>
  </authors>
  <commentList>
    <comment ref="F8" authorId="0">
      <text>
        <r>
          <rPr>
            <b/>
            <sz val="9"/>
            <color indexed="81"/>
            <rFont val="Tahoma"/>
            <family val="2"/>
          </rPr>
          <t>Rakesh Jha:</t>
        </r>
        <r>
          <rPr>
            <sz val="9"/>
            <color indexed="81"/>
            <rFont val="Tahoma"/>
            <family val="2"/>
          </rPr>
          <t xml:space="preserve">
As per TO 14-15</t>
        </r>
      </text>
    </comment>
  </commentList>
</comments>
</file>

<file path=xl/comments2.xml><?xml version="1.0" encoding="utf-8"?>
<comments xmlns="http://schemas.openxmlformats.org/spreadsheetml/2006/main">
  <authors>
    <author>Rakesh Jha</author>
  </authors>
  <commentList>
    <comment ref="F35" authorId="0">
      <text>
        <r>
          <rPr>
            <b/>
            <sz val="9"/>
            <color indexed="81"/>
            <rFont val="Tahoma"/>
            <family val="2"/>
          </rPr>
          <t>Rakesh Jha:</t>
        </r>
        <r>
          <rPr>
            <sz val="9"/>
            <color indexed="81"/>
            <rFont val="Tahoma"/>
            <family val="2"/>
          </rPr>
          <t xml:space="preserve">
As per TO 14-15</t>
        </r>
      </text>
    </comment>
  </commentList>
</comments>
</file>

<file path=xl/sharedStrings.xml><?xml version="1.0" encoding="utf-8"?>
<sst xmlns="http://schemas.openxmlformats.org/spreadsheetml/2006/main" count="3660" uniqueCount="1040">
  <si>
    <t>NAME OF DISTRIBUTION LICENSEE: NEW DELHI MUNICIPAL COUNCIL</t>
  </si>
  <si>
    <t>INDEX OF ARR &amp; TARIFF FILING FORMATS FOR DISTRIBUTION AND RETAIL SUPPLY LICENSEES</t>
  </si>
  <si>
    <t xml:space="preserve">S. No. </t>
  </si>
  <si>
    <t>Contents</t>
  </si>
  <si>
    <t>Sheet Title</t>
  </si>
  <si>
    <t>S. No.</t>
  </si>
  <si>
    <t>Particulars</t>
  </si>
  <si>
    <t>UoM</t>
  </si>
  <si>
    <t>FY 2014-15</t>
  </si>
  <si>
    <t>Remarks</t>
  </si>
  <si>
    <t>A</t>
  </si>
  <si>
    <t>Energy Availability</t>
  </si>
  <si>
    <t>i</t>
  </si>
  <si>
    <t>Total Energy Available (excluding BTPS, SGS TOWMCL &amp; Solar)</t>
  </si>
  <si>
    <t>MU</t>
  </si>
  <si>
    <t>ii</t>
  </si>
  <si>
    <t>Inter-State Transmission Losses</t>
  </si>
  <si>
    <t>%</t>
  </si>
  <si>
    <t>iii</t>
  </si>
  <si>
    <t>iv</t>
  </si>
  <si>
    <t>Energy available at State Transmission Periphery</t>
  </si>
  <si>
    <t>B</t>
  </si>
  <si>
    <t>Energy Requirement</t>
  </si>
  <si>
    <t>Energy Sales</t>
  </si>
  <si>
    <t>Distribution Loss</t>
  </si>
  <si>
    <t>Energy requirement at distribution periphery</t>
  </si>
  <si>
    <t>Intra-State Transmission Loss</t>
  </si>
  <si>
    <t>v</t>
  </si>
  <si>
    <t>Energy requirement at Transmission periphery</t>
  </si>
  <si>
    <t>Surplus Energy</t>
  </si>
  <si>
    <t>C</t>
  </si>
  <si>
    <t>Actual Sales from FY 2007-08 to FY 2014-15</t>
  </si>
  <si>
    <t>Category</t>
  </si>
  <si>
    <t>FY 2007-08</t>
  </si>
  <si>
    <t>FY 2008-09</t>
  </si>
  <si>
    <t>FY 2009-10</t>
  </si>
  <si>
    <t>FY 2010-11</t>
  </si>
  <si>
    <t>FY 2011-12</t>
  </si>
  <si>
    <t>FY 2012-13</t>
  </si>
  <si>
    <t>FY 2013-14</t>
  </si>
  <si>
    <t>Domestic</t>
  </si>
  <si>
    <t>Domestic- Other than A(ii)</t>
  </si>
  <si>
    <t>Single Delivery Point for CGHS</t>
  </si>
  <si>
    <t>Non- Domestic</t>
  </si>
  <si>
    <t>Non- Domestic Low Tension (NDLT)</t>
  </si>
  <si>
    <t>Non- Domestic High Tension (NDHT)</t>
  </si>
  <si>
    <t>Industrial</t>
  </si>
  <si>
    <t>Small Industrial Power (SIP) [less than 200kW/215 kVA]</t>
  </si>
  <si>
    <t>Industrial Power on 11 kV Single Point Delivery for Group of SIP Consumers</t>
  </si>
  <si>
    <t>Large Industrial Power (LIP) (Supply at 11kV and above)</t>
  </si>
  <si>
    <t>D</t>
  </si>
  <si>
    <t>Agriculture</t>
  </si>
  <si>
    <t>E</t>
  </si>
  <si>
    <t>Mushroom Cultivation</t>
  </si>
  <si>
    <t>F</t>
  </si>
  <si>
    <t>Public Lighting</t>
  </si>
  <si>
    <t>Metered</t>
  </si>
  <si>
    <t>Un-metered</t>
  </si>
  <si>
    <t>G</t>
  </si>
  <si>
    <t>Supply at LT</t>
  </si>
  <si>
    <t>Supply at 11kV and above</t>
  </si>
  <si>
    <t>H</t>
  </si>
  <si>
    <t>DIAL</t>
  </si>
  <si>
    <t>I</t>
  </si>
  <si>
    <t>Railway Traction</t>
  </si>
  <si>
    <t>J</t>
  </si>
  <si>
    <t>DMRC</t>
  </si>
  <si>
    <t>K</t>
  </si>
  <si>
    <t>Advertisements and Hoardings</t>
  </si>
  <si>
    <t>L</t>
  </si>
  <si>
    <t>Temporary Supply</t>
  </si>
  <si>
    <t>M</t>
  </si>
  <si>
    <t>Others</t>
  </si>
  <si>
    <t>Total</t>
  </si>
  <si>
    <t>Delhi Jal Board (DJB)</t>
  </si>
  <si>
    <t>Various Years CAGR</t>
  </si>
  <si>
    <t>7 year CAGR</t>
  </si>
  <si>
    <t>6 year CAGR</t>
  </si>
  <si>
    <t>5 year CAGR</t>
  </si>
  <si>
    <t>4 year CAGR</t>
  </si>
  <si>
    <t>3 year CAGR</t>
  </si>
  <si>
    <t>2 year CAGR</t>
  </si>
  <si>
    <t>1 year CAGR</t>
  </si>
  <si>
    <t>Actual Closing Consumers from FY 2007-08 to FY 2014-15</t>
  </si>
  <si>
    <t>Actual Total Connected Load FY 2007-08 to FY 2014-15 (H1)</t>
  </si>
  <si>
    <t>FY 2014-15 (H1)</t>
  </si>
  <si>
    <t>Projected Sales (MU) for FY 2015-16</t>
  </si>
  <si>
    <t>FY 2014-15 (Estimated)</t>
  </si>
  <si>
    <t>Growth Rate</t>
  </si>
  <si>
    <t>FY 2015-16 (Projections)</t>
  </si>
  <si>
    <t>Projected No. of Consumers, Connected Load and Sales for FY 2015-16</t>
  </si>
  <si>
    <t>Number of Consumers</t>
  </si>
  <si>
    <t>Connected Load (MW)</t>
  </si>
  <si>
    <t>Sales (MU)</t>
  </si>
  <si>
    <t>Power Factor Considered</t>
  </si>
  <si>
    <t>Power Factor</t>
  </si>
  <si>
    <t>Revenue Estimated for FY 2015-16 (Rs. Crore)</t>
  </si>
  <si>
    <t>Fixed Charges</t>
  </si>
  <si>
    <t>Energy Charges</t>
  </si>
  <si>
    <t>Total Revenue</t>
  </si>
  <si>
    <t>S.No.</t>
  </si>
  <si>
    <t>T&amp;D Losses</t>
  </si>
  <si>
    <t>Collection Efficiency</t>
  </si>
  <si>
    <t>AT&amp;C Loss</t>
  </si>
  <si>
    <t>Unit</t>
  </si>
  <si>
    <t xml:space="preserve">Energy Requirement </t>
  </si>
  <si>
    <t>Remarks/ Reference</t>
  </si>
  <si>
    <t>A/(1-B)</t>
  </si>
  <si>
    <t>C-A</t>
  </si>
  <si>
    <t>Stations</t>
  </si>
  <si>
    <t>Installed Capacity</t>
  </si>
  <si>
    <t>Firm share of Delhi</t>
  </si>
  <si>
    <t>Unallocated share of Delhi</t>
  </si>
  <si>
    <t>Firm and Unallocated share of Delhi</t>
  </si>
  <si>
    <t>Share Allocation to Petitioner</t>
  </si>
  <si>
    <t>Plant Load Factor</t>
  </si>
  <si>
    <t>Total Energy Available in Delhi</t>
  </si>
  <si>
    <t>Petitioner Share</t>
  </si>
  <si>
    <t>MW</t>
  </si>
  <si>
    <t>8=6+4</t>
  </si>
  <si>
    <t>9=7+5</t>
  </si>
  <si>
    <t>13=9*12</t>
  </si>
  <si>
    <t>14=13*10</t>
  </si>
  <si>
    <t>Central Sector Generating Stations (CSGS)</t>
  </si>
  <si>
    <t>NTPC</t>
  </si>
  <si>
    <t>Anta Gas</t>
  </si>
  <si>
    <t>Auraiya Gas</t>
  </si>
  <si>
    <t>Dadri Gas</t>
  </si>
  <si>
    <t>Dadri-I</t>
  </si>
  <si>
    <t>Dadri-II</t>
  </si>
  <si>
    <t>vi</t>
  </si>
  <si>
    <t>Farakka</t>
  </si>
  <si>
    <t>vii</t>
  </si>
  <si>
    <t>Kahalgaon-I</t>
  </si>
  <si>
    <t>viii</t>
  </si>
  <si>
    <t>Kahalgaon-II</t>
  </si>
  <si>
    <t>ix</t>
  </si>
  <si>
    <t>Rihand-I</t>
  </si>
  <si>
    <t>Rihand-II</t>
  </si>
  <si>
    <t>Rihand-III</t>
  </si>
  <si>
    <t>x</t>
  </si>
  <si>
    <t>xi</t>
  </si>
  <si>
    <t>xii</t>
  </si>
  <si>
    <t>Singrauli</t>
  </si>
  <si>
    <t>xiii</t>
  </si>
  <si>
    <t>xiv</t>
  </si>
  <si>
    <t>xv</t>
  </si>
  <si>
    <t>Unchahar-I</t>
  </si>
  <si>
    <t>Unchahar-II</t>
  </si>
  <si>
    <t>Unchahar-III</t>
  </si>
  <si>
    <t>xvi</t>
  </si>
  <si>
    <t>Aravali Jhajjar</t>
  </si>
  <si>
    <t>xvii</t>
  </si>
  <si>
    <t>NHPC</t>
  </si>
  <si>
    <t>Baira Siul</t>
  </si>
  <si>
    <t>Chamera-I</t>
  </si>
  <si>
    <t>Chamera-II</t>
  </si>
  <si>
    <t>Chamera-III</t>
  </si>
  <si>
    <t>Dhauliganga</t>
  </si>
  <si>
    <t>Dulhasti</t>
  </si>
  <si>
    <t>Salal</t>
  </si>
  <si>
    <t>Tanakpur</t>
  </si>
  <si>
    <t>Uri</t>
  </si>
  <si>
    <t>Sewa-II</t>
  </si>
  <si>
    <t>Parbati-III</t>
  </si>
  <si>
    <t>Uri-III</t>
  </si>
  <si>
    <t>THDC</t>
  </si>
  <si>
    <t>Tehri HEP</t>
  </si>
  <si>
    <t>Koteshwar</t>
  </si>
  <si>
    <t>DVC</t>
  </si>
  <si>
    <t>NPCIL</t>
  </si>
  <si>
    <t>NAPS</t>
  </si>
  <si>
    <t>RAPP B Units 3&amp;4</t>
  </si>
  <si>
    <t>RAPP C Units 5&amp;6</t>
  </si>
  <si>
    <t>SJVNL</t>
  </si>
  <si>
    <t>Tala HEP</t>
  </si>
  <si>
    <t>Total CSGS</t>
  </si>
  <si>
    <t>State Generating Stations (SGS)</t>
  </si>
  <si>
    <t>BTPS</t>
  </si>
  <si>
    <t>Dadri</t>
  </si>
  <si>
    <t>Rajghat</t>
  </si>
  <si>
    <t>Gas Turbine</t>
  </si>
  <si>
    <t>Pragati-I</t>
  </si>
  <si>
    <t>Total SGS</t>
  </si>
  <si>
    <t>Grand Total</t>
  </si>
  <si>
    <t>I+J</t>
  </si>
  <si>
    <t>6=4+5</t>
  </si>
  <si>
    <t>7=6/3</t>
  </si>
  <si>
    <t>Fixed Charge</t>
  </si>
  <si>
    <t>Rs. Cr</t>
  </si>
  <si>
    <t>Variable Charge</t>
  </si>
  <si>
    <t>Total Charge</t>
  </si>
  <si>
    <t>Average Rate</t>
  </si>
  <si>
    <t>Rs./kWh</t>
  </si>
  <si>
    <t>Source</t>
  </si>
  <si>
    <t>Energy Purchase Projection</t>
  </si>
  <si>
    <t>Cost Per Unit</t>
  </si>
  <si>
    <t>Total Cost</t>
  </si>
  <si>
    <t>Rs./Unit</t>
  </si>
  <si>
    <t>5=3*4</t>
  </si>
  <si>
    <t>Bilateral</t>
  </si>
  <si>
    <t>Banking</t>
  </si>
  <si>
    <t>Exchange</t>
  </si>
  <si>
    <t>Intra State</t>
  </si>
  <si>
    <t>Unscheduled Interchange</t>
  </si>
  <si>
    <t>Cost of REC Purchase for meeting Solar RPO</t>
  </si>
  <si>
    <t>RPO target- Solar</t>
  </si>
  <si>
    <t>Availability from Solar</t>
  </si>
  <si>
    <t>Required to be met through RECs</t>
  </si>
  <si>
    <t>REC rate</t>
  </si>
  <si>
    <t>Cost for REC purchase</t>
  </si>
  <si>
    <t>Rs. Crore</t>
  </si>
  <si>
    <t>Cost of REC Purchase for meeting Non-Solar RPO</t>
  </si>
  <si>
    <t>RPO target- Non-Solar</t>
  </si>
  <si>
    <t>Availability from Non-Solar</t>
  </si>
  <si>
    <t>Transmission Losses (MU)</t>
  </si>
  <si>
    <t>Inter-State Transmission (MU)</t>
  </si>
  <si>
    <t>Intra-State Transmission (MU)</t>
  </si>
  <si>
    <t>Total Transmission Losses (MU)</t>
  </si>
  <si>
    <t>Transmission Charges (Rs. Crore)</t>
  </si>
  <si>
    <t>Inter-State Transmission * (Rs. Crore)</t>
  </si>
  <si>
    <t>Intra- State Transmission ** (Rs. Crore)</t>
  </si>
  <si>
    <t>Total Transmission Charges (Rs. Crore)</t>
  </si>
  <si>
    <t>*including Open Access Charges</t>
  </si>
  <si>
    <t>**including SLDC</t>
  </si>
  <si>
    <t>Surplus Energy (MU)</t>
  </si>
  <si>
    <t>Average Sale Price (Rs./kWh)</t>
  </si>
  <si>
    <t>Total Cost (Rs. Crore)</t>
  </si>
  <si>
    <t>Amount (Rs. Cr)</t>
  </si>
  <si>
    <t>Power Purchase</t>
  </si>
  <si>
    <t>Cost of Power Purchased</t>
  </si>
  <si>
    <t>Rate of Rebate (%)</t>
  </si>
  <si>
    <t>Net Power Purchase Cost</t>
  </si>
  <si>
    <t>Transmission</t>
  </si>
  <si>
    <t>Cost of Transmission</t>
  </si>
  <si>
    <t>Net Transmission Cost</t>
  </si>
  <si>
    <t>Short Term Power Purchase Cost proposed for FY 2015-16</t>
  </si>
  <si>
    <t>Power Purchase Cost proposed for FY 2015-16</t>
  </si>
  <si>
    <t>Quantity (MU)</t>
  </si>
  <si>
    <t>Amount (Rs. Crore)</t>
  </si>
  <si>
    <t>Average Cost (Rs./kWh)</t>
  </si>
  <si>
    <t>N</t>
  </si>
  <si>
    <t>Inter-State Loss</t>
  </si>
  <si>
    <t>Power Available at Delhi Periphery</t>
  </si>
  <si>
    <t>Intra-State Loss and Charges including SLDC Charges</t>
  </si>
  <si>
    <t>Power Available to DISCOM</t>
  </si>
  <si>
    <t>Sales</t>
  </si>
  <si>
    <t>Required Power for the DISCOM</t>
  </si>
  <si>
    <t>Surplus Power Available at DISCOM boundary</t>
  </si>
  <si>
    <t>Additional Cost on RPO</t>
  </si>
  <si>
    <t>Less: Power Purchase Rebate</t>
  </si>
  <si>
    <t>Less: Rebate on Transmission Charges</t>
  </si>
  <si>
    <t>Net Power Purchase Expense including Transmission Charges and RPO</t>
  </si>
  <si>
    <t>Gross Power Purchase</t>
  </si>
  <si>
    <t>Submission</t>
  </si>
  <si>
    <t>O&amp;M Expenses</t>
  </si>
  <si>
    <t>Employee Expenses</t>
  </si>
  <si>
    <t>A&amp;G Expenses</t>
  </si>
  <si>
    <t>R&amp;M Expenses</t>
  </si>
  <si>
    <t>a</t>
  </si>
  <si>
    <t>Opening GFA</t>
  </si>
  <si>
    <t>b</t>
  </si>
  <si>
    <t>K Factor</t>
  </si>
  <si>
    <t>a*b</t>
  </si>
  <si>
    <t xml:space="preserve">B </t>
  </si>
  <si>
    <t>Gross O&amp;M Expenses</t>
  </si>
  <si>
    <t>Net O&amp;M Expenses</t>
  </si>
  <si>
    <t>Efficiency Factor (%)</t>
  </si>
  <si>
    <t>Efficiency Improvement</t>
  </si>
  <si>
    <t>Add: SVRS Pension</t>
  </si>
  <si>
    <t>(i+ii+iii)</t>
  </si>
  <si>
    <t>B*C</t>
  </si>
  <si>
    <t>B-D+E</t>
  </si>
  <si>
    <t>Capital Expenditure</t>
  </si>
  <si>
    <t>Capitalisation</t>
  </si>
  <si>
    <t>Opening Balance</t>
  </si>
  <si>
    <t>Additions during the year</t>
  </si>
  <si>
    <t>Closing Balance</t>
  </si>
  <si>
    <t>Average Consumers Contribution</t>
  </si>
  <si>
    <t>Opening balance</t>
  </si>
  <si>
    <t>Closing balance</t>
  </si>
  <si>
    <t>Average Grant Balance</t>
  </si>
  <si>
    <t>Grants for FY 2015-16 (Rs. Crore)</t>
  </si>
  <si>
    <t>Gross Fixed Assets (GFA)</t>
  </si>
  <si>
    <t>Consumers Contribution</t>
  </si>
  <si>
    <t>Grants</t>
  </si>
  <si>
    <t>GFA Net of Consumers Contribution and Grants</t>
  </si>
  <si>
    <t>Average Balance</t>
  </si>
  <si>
    <t>Average Rate of Depreciation</t>
  </si>
  <si>
    <t xml:space="preserve">F </t>
  </si>
  <si>
    <t>Depreciation</t>
  </si>
  <si>
    <t>Advance Against Depreciation for FY 2014-15 (Rs. Crore)</t>
  </si>
  <si>
    <t>1/10 of Opening project/ Capex Loans</t>
  </si>
  <si>
    <t>Debt Repyment</t>
  </si>
  <si>
    <t>Minimum of A&amp;B</t>
  </si>
  <si>
    <t>Depreciation as per ARR routed for repayment of loans</t>
  </si>
  <si>
    <t>Excess of Min (A,B) over depreciation</t>
  </si>
  <si>
    <t>Cumulative Repayment</t>
  </si>
  <si>
    <t>Cumulative Depreciation considered for AAD</t>
  </si>
  <si>
    <t>Excess of repayment ( C) over Depreciation (D)</t>
  </si>
  <si>
    <t>Advance Against Depreciation (AAD)</t>
  </si>
  <si>
    <t>C-D</t>
  </si>
  <si>
    <t>D-C</t>
  </si>
  <si>
    <t>Min (A,B)</t>
  </si>
  <si>
    <t>Capitalisation during the year</t>
  </si>
  <si>
    <t>Means of Finance</t>
  </si>
  <si>
    <t>Internal Accruals</t>
  </si>
  <si>
    <t xml:space="preserve">iv </t>
  </si>
  <si>
    <t>Debt</t>
  </si>
  <si>
    <t>Receivables from wheeling charges and sale of electricity</t>
  </si>
  <si>
    <t>Receivables equivalent to 2months of revenue from wheeling charges and sale of electricity</t>
  </si>
  <si>
    <t>Net Purchase Expenses (inclusive Transmission Charges)</t>
  </si>
  <si>
    <t>Less: One month Power Purchase Expenses (including Transmission charges)</t>
  </si>
  <si>
    <t>Less: Wheeling Charges for Two Months</t>
  </si>
  <si>
    <t>Total Working Capital</t>
  </si>
  <si>
    <t>Less: Opening Working Capital</t>
  </si>
  <si>
    <t>Change in Working Capital</t>
  </si>
  <si>
    <t>F-G</t>
  </si>
  <si>
    <t>B-D-E</t>
  </si>
  <si>
    <t>C/12</t>
  </si>
  <si>
    <t>(A/12)*2</t>
  </si>
  <si>
    <t>RRB- Base</t>
  </si>
  <si>
    <t>Opening Balance of Working Capital</t>
  </si>
  <si>
    <t>Opening Balance of Depreciation</t>
  </si>
  <si>
    <t>Opening Balance of AAD</t>
  </si>
  <si>
    <t>Opening Balance of Consumers contributions</t>
  </si>
  <si>
    <t>Grant</t>
  </si>
  <si>
    <t>Opening RRB</t>
  </si>
  <si>
    <t>(i+ii)-(iii+iv+v+vi)</t>
  </si>
  <si>
    <t>RRB for the Year</t>
  </si>
  <si>
    <t>Investments capital expenditure during the year</t>
  </si>
  <si>
    <t>Depreciation for the year (incl AAD)</t>
  </si>
  <si>
    <t>Advance Against Depreciation</t>
  </si>
  <si>
    <t>Consumers Contribution etc for the year</t>
  </si>
  <si>
    <t>A'</t>
  </si>
  <si>
    <t>Closing RRB</t>
  </si>
  <si>
    <t>Change in Regulated Rate Base</t>
  </si>
  <si>
    <t>Regulated Rate Base (i)</t>
  </si>
  <si>
    <t>A'+D</t>
  </si>
  <si>
    <t>(vii-(viii+ix+x+xi))/2)+xii</t>
  </si>
  <si>
    <t>A'+vii-viii-ix-x-xi+xii</t>
  </si>
  <si>
    <t>Equity</t>
  </si>
  <si>
    <t>Opening Equity</t>
  </si>
  <si>
    <t xml:space="preserve">Repayment/ Routing </t>
  </si>
  <si>
    <t>Closing Equity</t>
  </si>
  <si>
    <t>(i+ii-iii)</t>
  </si>
  <si>
    <t>(i+iv)/2</t>
  </si>
  <si>
    <t>Average Equity</t>
  </si>
  <si>
    <t>Opening Debt</t>
  </si>
  <si>
    <t>Deletions during the year</t>
  </si>
  <si>
    <t>Closing Debt</t>
  </si>
  <si>
    <t>Average Debt</t>
  </si>
  <si>
    <t>(vi+ix)/2</t>
  </si>
  <si>
    <t>vi+vii+viii</t>
  </si>
  <si>
    <t>Weighted Average Cost of Capital for FY 2013-14</t>
  </si>
  <si>
    <t>A+B</t>
  </si>
  <si>
    <t>(A/C)*100</t>
  </si>
  <si>
    <t>(B/C)*100</t>
  </si>
  <si>
    <t>Return on Equity</t>
  </si>
  <si>
    <t>Cost of Debt</t>
  </si>
  <si>
    <t>Weighted Average Cost of Capital</t>
  </si>
  <si>
    <t>((A*F)+(B*G))/C*100</t>
  </si>
  <si>
    <t>Rate of Return on Equity</t>
  </si>
  <si>
    <t>Rate of Return on Debt</t>
  </si>
  <si>
    <t>RRB (i)</t>
  </si>
  <si>
    <t>WACC</t>
  </si>
  <si>
    <t>RoCE</t>
  </si>
  <si>
    <t>(A+B)</t>
  </si>
  <si>
    <t>(G*F)</t>
  </si>
  <si>
    <t>RRB Average</t>
  </si>
  <si>
    <t>Equity Average</t>
  </si>
  <si>
    <t>Debt Average</t>
  </si>
  <si>
    <t>% Equity</t>
  </si>
  <si>
    <t>Equity Considered for Income Tax</t>
  </si>
  <si>
    <t>Rate of Return</t>
  </si>
  <si>
    <t>MAT/ Income Tax Rate</t>
  </si>
  <si>
    <t>Income Tax</t>
  </si>
  <si>
    <t>Late Payment Surcharge</t>
  </si>
  <si>
    <t>Other Penalties &amp; Fines</t>
  </si>
  <si>
    <t>MDI</t>
  </si>
  <si>
    <t>Misuse</t>
  </si>
  <si>
    <t>New connection/re-connection fees</t>
  </si>
  <si>
    <t>Meter Testing Charges</t>
  </si>
  <si>
    <t>Meter Rent</t>
  </si>
  <si>
    <t>Service Administrative Charges</t>
  </si>
  <si>
    <t>Sale &amp; Hire charges</t>
  </si>
  <si>
    <t>Burnt Meter</t>
  </si>
  <si>
    <t>Recovery on deposit work</t>
  </si>
  <si>
    <t>Other income from lapsed deposit and other receipts</t>
  </si>
  <si>
    <t>other receipts (petty items commercial)</t>
  </si>
  <si>
    <t>Carrying Cost on Revenue Gap</t>
  </si>
  <si>
    <t>Rate of carrying cost for the year</t>
  </si>
  <si>
    <t>Carrying Cost</t>
  </si>
  <si>
    <t>L-J</t>
  </si>
  <si>
    <t>C-B</t>
  </si>
  <si>
    <t>D-E</t>
  </si>
  <si>
    <t>(A*G)+((F*G)/2)</t>
  </si>
  <si>
    <t>A+F+H</t>
  </si>
  <si>
    <t xml:space="preserve">Depreciation </t>
  </si>
  <si>
    <t>Net power purchase cost including Transmission charges and SLDC charges</t>
  </si>
  <si>
    <t>Other Miscellaneous Expenses</t>
  </si>
  <si>
    <t>Return on Capital Employed (RoCE)</t>
  </si>
  <si>
    <t>Sub-total</t>
  </si>
  <si>
    <t>Less: Non-tariff Income</t>
  </si>
  <si>
    <t>Add: PPAC Balance</t>
  </si>
  <si>
    <t xml:space="preserve">Aggregate Revenue Requirement </t>
  </si>
  <si>
    <t>Carrying Cost of Regulatory Asset</t>
  </si>
  <si>
    <t>ARR with carrying Cost</t>
  </si>
  <si>
    <t>A+B+C+D+E+F+G</t>
  </si>
  <si>
    <t>H-I+J</t>
  </si>
  <si>
    <t>K+L</t>
  </si>
  <si>
    <t>Allocation for Wheeling Business and Retail Business</t>
  </si>
  <si>
    <t>Wheeling</t>
  </si>
  <si>
    <t>Retail</t>
  </si>
  <si>
    <t>Trued Up Energy Sales for FY 2013-14 (MU)</t>
  </si>
  <si>
    <t>Approved in Tariff Order dated July 31,2013</t>
  </si>
  <si>
    <t>Actual</t>
  </si>
  <si>
    <t>T1</t>
  </si>
  <si>
    <t>AT&amp;C Loss for FY 2013-14</t>
  </si>
  <si>
    <t>T2</t>
  </si>
  <si>
    <t>Approved in MYT Order July 2012</t>
  </si>
  <si>
    <t>AT&amp;C Loss Target</t>
  </si>
  <si>
    <t>Computation of AT&amp;C loss for FY 2013-14</t>
  </si>
  <si>
    <t>Amount</t>
  </si>
  <si>
    <t>Energy Input at Petitioner</t>
  </si>
  <si>
    <t>Units Billed</t>
  </si>
  <si>
    <t>Amount Billed</t>
  </si>
  <si>
    <t>Average Billing Rate</t>
  </si>
  <si>
    <t>Distribution loss</t>
  </si>
  <si>
    <t>Amount Collected</t>
  </si>
  <si>
    <t>Units Realized</t>
  </si>
  <si>
    <t>AT&amp;C Loss Level</t>
  </si>
  <si>
    <t>Rs/kWh</t>
  </si>
  <si>
    <t>(C/B)*10</t>
  </si>
  <si>
    <t>(1-B/A)</t>
  </si>
  <si>
    <t>F/C</t>
  </si>
  <si>
    <t>(B*G)</t>
  </si>
  <si>
    <t>(1-H/A)</t>
  </si>
  <si>
    <t>Revenue Billed for AT&amp;C True Up for FY  2013-14 (Rs. Crore)</t>
  </si>
  <si>
    <t>Revenue Billed for AT&amp;C True Up for FY  2013-14</t>
  </si>
  <si>
    <t>T3</t>
  </si>
  <si>
    <t>Amount True Up for FY 2013-14</t>
  </si>
  <si>
    <t>Revenue Billed (excluding Electricity Duty)</t>
  </si>
  <si>
    <t>Less: Other Adjustment</t>
  </si>
  <si>
    <t>Revenue Billed for AT&amp;C True Up</t>
  </si>
  <si>
    <t>A-B-C</t>
  </si>
  <si>
    <t>Revenue Collected for AT&amp;C True Up for FY  2013-14 (Rs. Crore)</t>
  </si>
  <si>
    <t>Revenue Collected for AT&amp;C True Up for FY  2013-14</t>
  </si>
  <si>
    <t>Revenue Collected</t>
  </si>
  <si>
    <t>Less: Electricity Tax</t>
  </si>
  <si>
    <t>Revenue Collected for AT&amp;C True Up</t>
  </si>
  <si>
    <t>Power Purchase Quantum for FY 2013-14 as per Auditor's Certificate</t>
  </si>
  <si>
    <t>T4</t>
  </si>
  <si>
    <t>Approved in Tariff Order dated July 31, 2013</t>
  </si>
  <si>
    <t>Transmission Loss</t>
  </si>
  <si>
    <t>Net Power Available After Transmission Loss</t>
  </si>
  <si>
    <t>Gross Power Purchase Quantum</t>
  </si>
  <si>
    <t>Power Sold to Other Sources</t>
  </si>
  <si>
    <t>Net Power Purchase</t>
  </si>
  <si>
    <t>Inter-State Transmission Loss</t>
  </si>
  <si>
    <t>Total Transmission Loss</t>
  </si>
  <si>
    <t>Detail of Short Term Power Purchase</t>
  </si>
  <si>
    <t>i-ii</t>
  </si>
  <si>
    <t>i+ii</t>
  </si>
  <si>
    <t>B-A</t>
  </si>
  <si>
    <t>Energy (MU)</t>
  </si>
  <si>
    <t>Detail of Short Term Power Sales</t>
  </si>
  <si>
    <t>Detail of Power Purchase Quantum Station Wise (MU)</t>
  </si>
  <si>
    <t>T5</t>
  </si>
  <si>
    <t>Details of Power Purchase Cost Station wise for FY 2013-14 (Rs. Cr)</t>
  </si>
  <si>
    <t>Rs Cr</t>
  </si>
  <si>
    <t>Details of Power Purchase Cost Station wise for FY 2013-14</t>
  </si>
  <si>
    <t>T6</t>
  </si>
  <si>
    <t>H+I</t>
  </si>
  <si>
    <t>Details of Short Term Power Purchase</t>
  </si>
  <si>
    <t>Rate per Unit</t>
  </si>
  <si>
    <t>Details of Short Term Power Sales</t>
  </si>
  <si>
    <t>Gross Power Purchase Cost Trued Up for FY 2013-14 (Rs Crore)</t>
  </si>
  <si>
    <t>Audited Gross Power Purchase Cost</t>
  </si>
  <si>
    <t>Trading Margin Paid to related party</t>
  </si>
  <si>
    <t>Additional UI Charges</t>
  </si>
  <si>
    <t>Trued Up Gross Power Purchase Cost</t>
  </si>
  <si>
    <t>Rebate on Power Purchase and Transmission Charges</t>
  </si>
  <si>
    <t>T7</t>
  </si>
  <si>
    <t>Company</t>
  </si>
  <si>
    <t>Maximum Normative Rebate (in %)</t>
  </si>
  <si>
    <t>Rebatable Amount</t>
  </si>
  <si>
    <t>Non-Rebatable Amount</t>
  </si>
  <si>
    <t>Total Amount Claimed Against FY 2013-14</t>
  </si>
  <si>
    <t>PGCIL</t>
  </si>
  <si>
    <t>DTL</t>
  </si>
  <si>
    <t>Trued Up Power Purchase Cost for FY 2013-14 based on Auditor's Certificate</t>
  </si>
  <si>
    <t>Power Purchase Cost</t>
  </si>
  <si>
    <t>Transmission Charges</t>
  </si>
  <si>
    <t>Inter-State Transmission Charges</t>
  </si>
  <si>
    <t>Intra-State Transmission Charges</t>
  </si>
  <si>
    <t>Total Transmission Charges</t>
  </si>
  <si>
    <t>Rebate</t>
  </si>
  <si>
    <t>Net Power Purchase Cost including Rebate</t>
  </si>
  <si>
    <t>Total Rebate</t>
  </si>
  <si>
    <t>A+B-C</t>
  </si>
  <si>
    <t>O&amp;M Expenses Submitted (Rs. Crore)</t>
  </si>
  <si>
    <t>O&amp;M Expenses Submitted</t>
  </si>
  <si>
    <t>T8</t>
  </si>
  <si>
    <t>Less: Efficiency Improvement</t>
  </si>
  <si>
    <t xml:space="preserve"> SVRS Pension</t>
  </si>
  <si>
    <t>A+B+C</t>
  </si>
  <si>
    <t>D*E</t>
  </si>
  <si>
    <t>D-F+G</t>
  </si>
  <si>
    <t>Other Uncontrollable Costs/Expenses Submitted by Petitioner (Rs. Crore)</t>
  </si>
  <si>
    <t>Other Expenses</t>
  </si>
  <si>
    <t>Non-Tariff Income submitted for FY 2013-14 (Rs. Crore)</t>
  </si>
  <si>
    <t>Non-Tariff Income submitted for FY 2013-14</t>
  </si>
  <si>
    <t>T9</t>
  </si>
  <si>
    <t>Other Business Income for FY 2013-14 (Rs. Crore)</t>
  </si>
  <si>
    <t>Total Income</t>
  </si>
  <si>
    <t>Petitioner's Share:ARR</t>
  </si>
  <si>
    <t>Amount Retained</t>
  </si>
  <si>
    <t>Amount Passed on to the Consumers</t>
  </si>
  <si>
    <t>Other Business Income for FY 2013-14</t>
  </si>
  <si>
    <t>Capex and Capitalisation</t>
  </si>
  <si>
    <t>Opening GFA (as per Tariff Order dated 31 July, 2013)</t>
  </si>
  <si>
    <t>Gross Fixed Assets FY 2013-14 (Rs. Crore)</t>
  </si>
  <si>
    <t>De-Capitalisation</t>
  </si>
  <si>
    <t>Closing GFA</t>
  </si>
  <si>
    <t>Average GFA</t>
  </si>
  <si>
    <t>(A+D)/2</t>
  </si>
  <si>
    <t>Approved financing of new investment capitalised in FY 2013-14 (Rs. Crore)</t>
  </si>
  <si>
    <t>Balance Capitalisation</t>
  </si>
  <si>
    <t>A-B</t>
  </si>
  <si>
    <t>30% of C</t>
  </si>
  <si>
    <t>70% of C</t>
  </si>
  <si>
    <t>Consumer's Contribution for FY 2013-14  (Rs. Crore)</t>
  </si>
  <si>
    <t>Grants for FY 2013-14 (Rs. Crore)</t>
  </si>
  <si>
    <t>Capital Expenditure and Capitalisation</t>
  </si>
  <si>
    <t>T10</t>
  </si>
  <si>
    <t>Computation of Average Rate of Depreciation for FY 2013-14 (Rs. Crore)</t>
  </si>
  <si>
    <t>Opening GFA as per audited accounts</t>
  </si>
  <si>
    <t>Closing GFA as per audited accounts</t>
  </si>
  <si>
    <t>Average of GFA</t>
  </si>
  <si>
    <t>Depreciation as per audited accounts</t>
  </si>
  <si>
    <t>Average Depreciation Rate</t>
  </si>
  <si>
    <t>(A+B)/2</t>
  </si>
  <si>
    <t>(D/C)*100</t>
  </si>
  <si>
    <t>Depreciation for FY 2013-14 (Rs Crore)</t>
  </si>
  <si>
    <t>Average Consumer Contribution</t>
  </si>
  <si>
    <t>Average Assets net of consumer contribution</t>
  </si>
  <si>
    <t>Average Depreciation Rate as above</t>
  </si>
  <si>
    <t>C*D</t>
  </si>
  <si>
    <t>Cumulative Depreciation on Fixed Assets at the end of FY 2013-14 (Rs. Crore)</t>
  </si>
  <si>
    <t>Opening Balance of Cumulative Depreciation</t>
  </si>
  <si>
    <t>Addition during FY 2013-14</t>
  </si>
  <si>
    <t>Impact of Decapitalization</t>
  </si>
  <si>
    <t>Closing balance of Cumulative Depreciation at</t>
  </si>
  <si>
    <t>Utilisation of Depreciation for FY 2013-14 (Rs. Crore)</t>
  </si>
  <si>
    <t>Depreciation for FY 2013-14</t>
  </si>
  <si>
    <t>Depreciation utilized for Debt repayment in FY 2013-14</t>
  </si>
  <si>
    <t>Working Capital Requirement for FY 2013-14 (Rs. Crore)</t>
  </si>
  <si>
    <t>Working Capital Requirement for FY 2013-14</t>
  </si>
  <si>
    <t>T11</t>
  </si>
  <si>
    <t>Receivables from sale of electricity</t>
  </si>
  <si>
    <t>Receivables equivalent to 2months of revenue from sale of electricity</t>
  </si>
  <si>
    <t>Net Power Purchase Expenses (inclusive Transmission Charges)</t>
  </si>
  <si>
    <t>Change in Working Capital for FY 2013-14</t>
  </si>
  <si>
    <t>B-D</t>
  </si>
  <si>
    <t>E-F</t>
  </si>
  <si>
    <t>Debt and Equity for FY 2013-14 (Rs. Crore)</t>
  </si>
  <si>
    <t>Debt and Equity for FY 2013-14</t>
  </si>
  <si>
    <t>T12</t>
  </si>
  <si>
    <t>Less: Impact of Decapitalisation</t>
  </si>
  <si>
    <t>Add: Change in Working Capital for FY 2013-14</t>
  </si>
  <si>
    <t>Average</t>
  </si>
  <si>
    <t>A+B-C+D</t>
  </si>
  <si>
    <t>(E+A)/2</t>
  </si>
  <si>
    <t>Additions based on Capitalisation during the year</t>
  </si>
  <si>
    <t>1/10 of Opening Loans</t>
  </si>
  <si>
    <t>Debt Repayment</t>
  </si>
  <si>
    <t>Advance Against Depreciation for FY 2013-14</t>
  </si>
  <si>
    <t>Advance Against Depreciation for FY 2013-14 (Rs. Crore)</t>
  </si>
  <si>
    <t>Regulated Rate Base and RoCE for FY 2013-14 (Rs. Crore)</t>
  </si>
  <si>
    <t>Opening Balance of Original Cost of Fixed Assets</t>
  </si>
  <si>
    <t>Accumulated Depreciation</t>
  </si>
  <si>
    <t>Accumulated Consumers contributions</t>
  </si>
  <si>
    <t>RRB Opening</t>
  </si>
  <si>
    <t>A+B-C-D</t>
  </si>
  <si>
    <t>Investments capitalised</t>
  </si>
  <si>
    <t xml:space="preserve">Consumers Contribution </t>
  </si>
  <si>
    <t>E+F-G-H+I</t>
  </si>
  <si>
    <t>ΔAB (Chage in Regulated Base)</t>
  </si>
  <si>
    <t>RRB considered for RoCE of FY 2013-14</t>
  </si>
  <si>
    <t xml:space="preserve">Regulated Rate Base and RoCE for FY 2013-14 </t>
  </si>
  <si>
    <t>((A*D)+(B*E))/C*100</t>
  </si>
  <si>
    <t>Return on Capital Employed for FY 2013-14 (Rs. Crore)</t>
  </si>
  <si>
    <t>Weighted Average Cost of Capital (WACC)</t>
  </si>
  <si>
    <t>Additional RoE if applicable</t>
  </si>
  <si>
    <t>AT&amp;C Loss reduction incentive on equity</t>
  </si>
  <si>
    <t>Total Return (RoCE + Incentive)</t>
  </si>
  <si>
    <t>A*B</t>
  </si>
  <si>
    <t>(B*30%)*D</t>
  </si>
  <si>
    <t>C+E</t>
  </si>
  <si>
    <t xml:space="preserve">Return on Capital Employed for FY 2013-14 </t>
  </si>
  <si>
    <t>CCGT Bawana</t>
  </si>
  <si>
    <t xml:space="preserve">Exchange </t>
  </si>
  <si>
    <t>IEX</t>
  </si>
  <si>
    <t>PXIL</t>
  </si>
  <si>
    <t>Total ISTS</t>
  </si>
  <si>
    <t>IDT-I</t>
  </si>
  <si>
    <t>True Up of FY 2013-14</t>
  </si>
  <si>
    <t>Average RRB</t>
  </si>
  <si>
    <t>% of Equity</t>
  </si>
  <si>
    <t>Equity considered for Income Tax</t>
  </si>
  <si>
    <t>Income Tax Rate</t>
  </si>
  <si>
    <t>B/A*100</t>
  </si>
  <si>
    <t>F=E*D</t>
  </si>
  <si>
    <t>H=F*G</t>
  </si>
  <si>
    <t>J=(H/(1-I))-H</t>
  </si>
  <si>
    <t>T13</t>
  </si>
  <si>
    <t>Aggregate Revenue Requirement for FY 2013-14 (Rs. Crore)</t>
  </si>
  <si>
    <t>MYT Order July 2012</t>
  </si>
  <si>
    <t>Purchase of power including transmission and SLDC Charges</t>
  </si>
  <si>
    <t>O&amp;M</t>
  </si>
  <si>
    <t>Other Expenses/ Statutory Levies</t>
  </si>
  <si>
    <t>A+B+C+D+E+F</t>
  </si>
  <si>
    <t>Less: Non-tariff income</t>
  </si>
  <si>
    <t>Less: Interest on CSD</t>
  </si>
  <si>
    <t>Aggregate Revenue Requirement</t>
  </si>
  <si>
    <t>Add: Impact of DERC/ APTEL/ High/ Supreme Court Judgements</t>
  </si>
  <si>
    <t>Net Aggregate Revenue Requirement</t>
  </si>
  <si>
    <t>J+K</t>
  </si>
  <si>
    <t>G-H-I</t>
  </si>
  <si>
    <t>Revenue Available towards ARR (Rs. Crore)</t>
  </si>
  <si>
    <t>Total Amount Realized</t>
  </si>
  <si>
    <t>Less: Electricity Duty</t>
  </si>
  <si>
    <t>Revenue Available for Expenses</t>
  </si>
  <si>
    <t>ARR for FY 2013-14</t>
  </si>
  <si>
    <t xml:space="preserve">Revenue details </t>
  </si>
  <si>
    <t>T14</t>
  </si>
  <si>
    <t>Revenue (Gap)/ Surplus</t>
  </si>
  <si>
    <t>Revenue available towards ARR</t>
  </si>
  <si>
    <t>Revenu (Gap) / Surplus  for FY 2013-14</t>
  </si>
  <si>
    <t>As per Commercial Department, NDMC (ARR summary 2013-14)</t>
  </si>
  <si>
    <t>Form 2.1 a) (Revenue Billed excluding E-tax)</t>
  </si>
  <si>
    <t>(Revenue collected for 2013-14 excluding arrears due prior to 2013-14 and E-tax for 2013-14) E-tax as per Form 2.1 a)</t>
  </si>
  <si>
    <t>Form 2.1 a)</t>
  </si>
  <si>
    <t>Late payment surcharge as per form 2.1 a</t>
  </si>
  <si>
    <t>Form 2.1 a</t>
  </si>
  <si>
    <t>FY 2013-14 for true up purpose</t>
  </si>
  <si>
    <t xml:space="preserve">Target AT&amp;C loss level for 2013-14 </t>
  </si>
  <si>
    <t xml:space="preserve">Actual AT&amp;C loss level for 2013-14 </t>
  </si>
  <si>
    <t>Target AT&amp;C loss level for 2012-13</t>
  </si>
  <si>
    <t>Additional Return on Equity (%)</t>
  </si>
  <si>
    <t>Impact of Over Achievement of AT&amp;C Losses</t>
  </si>
  <si>
    <t>Impact of Over Achievement in AT&amp;C Loss Targets for FY 2013-14</t>
  </si>
  <si>
    <t>SLDC Data</t>
  </si>
  <si>
    <t>As per SLDC</t>
  </si>
  <si>
    <t>Total Generation</t>
  </si>
  <si>
    <t>Energy Received at Delhi Periphery</t>
  </si>
  <si>
    <t>(MU)</t>
  </si>
  <si>
    <t>Rate per Unit (Rs./kWh)</t>
  </si>
  <si>
    <t>Dadri (CSGS)</t>
  </si>
  <si>
    <t>As per NDMC Payment details</t>
  </si>
  <si>
    <t>Rate per Unit (Rs./kwh)</t>
  </si>
  <si>
    <t>Units (MU)</t>
  </si>
  <si>
    <t>Intra Discom Transfer</t>
  </si>
  <si>
    <t xml:space="preserve">Late Payment Surcharge claimed </t>
  </si>
  <si>
    <t>Power Purchase Rebate @ 2%</t>
  </si>
  <si>
    <t>Rebate on Transmission Charges @ 2%</t>
  </si>
  <si>
    <t>*Other receipts includes bank charges and sundry</t>
  </si>
  <si>
    <t>table 57 TO 13-14</t>
  </si>
  <si>
    <t>table 51 of TO 13-14</t>
  </si>
  <si>
    <t>Allocation of Adminstrative and Civil Engineering Expenses</t>
  </si>
  <si>
    <t>Inter Discom Transfer</t>
  </si>
  <si>
    <t>Approved ARR for FY 2013-14</t>
  </si>
  <si>
    <t>MYT Order July 2012 (Table 64 of T.O. 2013-14)</t>
  </si>
  <si>
    <t>(Excluding LPSC and E-tax)</t>
  </si>
  <si>
    <t>CAGR</t>
  </si>
  <si>
    <t>Energy Balance</t>
  </si>
  <si>
    <t>Consumers</t>
  </si>
  <si>
    <t>Connected Load</t>
  </si>
  <si>
    <t>Projected Sales FY 15-16</t>
  </si>
  <si>
    <t>Projected Consumers</t>
  </si>
  <si>
    <t>Estd Revenue FY''15-16'</t>
  </si>
  <si>
    <t>Energy Requirement for FY 2015-16</t>
  </si>
  <si>
    <t>Energy Requirement'</t>
  </si>
  <si>
    <t>Energy Requirement for FY 2015-16 (Detailed Plant-wise information)</t>
  </si>
  <si>
    <t>Power Purchase Cost 2015-16'</t>
  </si>
  <si>
    <t>RPO</t>
  </si>
  <si>
    <t>Transmission Loss Charges for FY 2015-16</t>
  </si>
  <si>
    <t>Transmission Loss'</t>
  </si>
  <si>
    <t>Sale of Surplus Power for FY 2015-16</t>
  </si>
  <si>
    <t>Surplus Power'</t>
  </si>
  <si>
    <t>Total Power Purchase Cost for FY 2015-16</t>
  </si>
  <si>
    <t>Total PPC'</t>
  </si>
  <si>
    <t>Schedule-Base cost for FY 2015-16</t>
  </si>
  <si>
    <t>PPAC</t>
  </si>
  <si>
    <t>O&amp;M Expenses for FY 2015-16 (Rs. Crore)</t>
  </si>
  <si>
    <t>O&amp;M'</t>
  </si>
  <si>
    <t>Capex</t>
  </si>
  <si>
    <t>Consumer contri'</t>
  </si>
  <si>
    <t>Dep</t>
  </si>
  <si>
    <t>AAD</t>
  </si>
  <si>
    <t>MoF</t>
  </si>
  <si>
    <t>WC</t>
  </si>
  <si>
    <t>RRB</t>
  </si>
  <si>
    <t>E&amp;D'</t>
  </si>
  <si>
    <t>Income Tax'</t>
  </si>
  <si>
    <t>NTI</t>
  </si>
  <si>
    <t>CCR</t>
  </si>
  <si>
    <t>ARR</t>
  </si>
  <si>
    <t>WR</t>
  </si>
  <si>
    <t>Tariff Design for FY 2015-16</t>
  </si>
  <si>
    <t>D1</t>
  </si>
  <si>
    <t>Revenue Gap/ Surplus till FY 2013-14</t>
  </si>
  <si>
    <t>For FY 2013-14</t>
  </si>
  <si>
    <t>Opening level of gap for the year</t>
  </si>
  <si>
    <t>Revenue Requirement for the year</t>
  </si>
  <si>
    <t>Revenue at existing tariffs for the year</t>
  </si>
  <si>
    <t>Surplus/ (Gap) for the year</t>
  </si>
  <si>
    <t>8% Surcharge for the year</t>
  </si>
  <si>
    <t>Net Surplus/ (Gap) for the year</t>
  </si>
  <si>
    <t>Rate of carrying cost</t>
  </si>
  <si>
    <t>Carrying cost for the year</t>
  </si>
  <si>
    <t>Closing Balance of (Gap)/ Surplus for the year</t>
  </si>
  <si>
    <t>Revenue at Existing Tariff for FY 2015-16 (Rs. Crore)</t>
  </si>
  <si>
    <t>Revenue at Existing Tariff</t>
  </si>
  <si>
    <t>Revenue (Gap)/Surplus at Existing Tariff for FY 2015-16 (Rs. Crore)</t>
  </si>
  <si>
    <t>FY 2015-16</t>
  </si>
  <si>
    <t>Revenue Requirement for the year (including carrying cost)</t>
  </si>
  <si>
    <t>Revenue (Gap)/Surplus for the year</t>
  </si>
  <si>
    <t>Tariff Hike Proposed</t>
  </si>
  <si>
    <t>Revenue (Gap)/Surplus during FY 2015-16</t>
  </si>
  <si>
    <t>Reasons for Revenue Gap</t>
  </si>
  <si>
    <t>PowerPurchase</t>
  </si>
  <si>
    <t>O&amp;M Expense</t>
  </si>
  <si>
    <t>R&amp;M Expense</t>
  </si>
  <si>
    <t>Earlier Revenue Gap proposed to be liquidated during  FY 2015-16</t>
  </si>
  <si>
    <t>Tariff Hike Proposed (%)</t>
  </si>
  <si>
    <t>Energy Sales for FY 2015-16</t>
  </si>
  <si>
    <t>Above 66kV Level</t>
  </si>
  <si>
    <t>At 66kV Level</t>
  </si>
  <si>
    <t>At 33kV Level</t>
  </si>
  <si>
    <t>At 11kV Level</t>
  </si>
  <si>
    <t>At LT Level</t>
  </si>
  <si>
    <t>Distribution Loss for FY 2015-16 (MU)</t>
  </si>
  <si>
    <t>Energy Input for FY 2015-16 (MU)</t>
  </si>
  <si>
    <t>Wheeling Cost allocated to different voltages for FY 2015-16 (Rs. Crore)</t>
  </si>
  <si>
    <t>Wheeling Charges for FY 2015-16 (Rs./Unit)</t>
  </si>
  <si>
    <t>Retail Supply cost allocated to different voltages for FY 15-16 (Rs. Cr)</t>
  </si>
  <si>
    <t>Retail Supply Charges for FY 15-16 (Rs./unit)</t>
  </si>
  <si>
    <t>Total Supply cost allocated to different voltages for FY 15-16 (Rs. Cr)</t>
  </si>
  <si>
    <t>Total Cost of Supply Charges for FY 15-16 (Rs/unit)</t>
  </si>
  <si>
    <t>D2</t>
  </si>
  <si>
    <t>Expected Revenue Category wise</t>
  </si>
  <si>
    <t>D3</t>
  </si>
  <si>
    <t>Revenue at Current Tariff</t>
  </si>
  <si>
    <t>Hike in Tariff</t>
  </si>
  <si>
    <t>Revised Revenue proposed</t>
  </si>
  <si>
    <t>Avg Billing Rate as per Revised Tariff</t>
  </si>
  <si>
    <t>Rs/unit</t>
  </si>
  <si>
    <t>Expected Revenue Category wise (Rs/unit)</t>
  </si>
  <si>
    <t>ACS</t>
  </si>
  <si>
    <t>Rs. /unit</t>
  </si>
  <si>
    <t>Ratio of Avg Billing Rate to Avg Cost of Supply for 2015-16</t>
  </si>
  <si>
    <t>ABR at current tariff</t>
  </si>
  <si>
    <t>Hike in tariff</t>
  </si>
  <si>
    <t>Ratio of Avg Billing Rate as per Revised Tariff to ACS</t>
  </si>
  <si>
    <t>D4</t>
  </si>
  <si>
    <t>Tariff Schedule Proposed for FY 2015-16</t>
  </si>
  <si>
    <t>D5</t>
  </si>
  <si>
    <t>Upto 2kW connected load</t>
  </si>
  <si>
    <t>0-200 units</t>
  </si>
  <si>
    <t>201-400 units</t>
  </si>
  <si>
    <t>401-800 units</t>
  </si>
  <si>
    <t>801-1200 units</t>
  </si>
  <si>
    <t>Above 1200 units</t>
  </si>
  <si>
    <t>Between 2-5kW connected load</t>
  </si>
  <si>
    <t>Above 5kW connected load</t>
  </si>
  <si>
    <t>c</t>
  </si>
  <si>
    <t>Single delivery point on 11kv for CGHS</t>
  </si>
  <si>
    <t>first 40%</t>
  </si>
  <si>
    <t>Next 30%</t>
  </si>
  <si>
    <t>Next 20%</t>
  </si>
  <si>
    <t>Balance 10%</t>
  </si>
  <si>
    <t>Upto 10kW</t>
  </si>
  <si>
    <t>Between 10kW (11kVA)- 100kW (108 kVA)</t>
  </si>
  <si>
    <t>Greater than 100kW/ 108 kVA (400 Volts)</t>
  </si>
  <si>
    <t>(No supply on LT for load&gt;215 kVA)</t>
  </si>
  <si>
    <t>For supply at 11 kV and above ( for load greater than 108 kVA)</t>
  </si>
  <si>
    <t>Greater than 100kW/ 108 kVA (400 Volts) (No supply on LT for load&gt;215 kVA)</t>
  </si>
  <si>
    <t>Street Lighting</t>
  </si>
  <si>
    <t>Signals and Blinkers</t>
  </si>
  <si>
    <t>DMRC (Supply at 220kV and 66kV)</t>
  </si>
  <si>
    <t>For a total period of</t>
  </si>
  <si>
    <t>Less than 16 days</t>
  </si>
  <si>
    <t>More than or equal to 16 days</t>
  </si>
  <si>
    <t>For residential cooperative group housing connections and other residential connections</t>
  </si>
  <si>
    <t>For religious functions of traditional and established characters and cultural activities</t>
  </si>
  <si>
    <t>For major construction projects</t>
  </si>
  <si>
    <t>For threshers</t>
  </si>
  <si>
    <t>During the threshing season for 30days</t>
  </si>
  <si>
    <t>For extended period</t>
  </si>
  <si>
    <t>Inter-Discom Sale</t>
  </si>
  <si>
    <t>PPS -III Bawana</t>
  </si>
  <si>
    <t>UI Purchase</t>
  </si>
  <si>
    <t>Net Energy Available at State</t>
  </si>
  <si>
    <t>Energy injected from RE source at DTL</t>
  </si>
  <si>
    <t>FY 2013-14 (Actual)</t>
  </si>
  <si>
    <t>(Estimated)</t>
  </si>
  <si>
    <t xml:space="preserve"> </t>
  </si>
  <si>
    <t>3year CAGR</t>
  </si>
  <si>
    <t>Above 100kW</t>
  </si>
  <si>
    <t>Between 10-100 kW</t>
  </si>
  <si>
    <t>Between 10-100kW</t>
  </si>
  <si>
    <t>Estimated</t>
  </si>
  <si>
    <t>Miscellaneous Receipts as per Budget Book</t>
  </si>
  <si>
    <t>(2% rebate subtracted from Approved cost)</t>
  </si>
  <si>
    <t>After deducting 2% rebate</t>
  </si>
  <si>
    <t>As per Calculations based on NDMC Budget Book 2014-15</t>
  </si>
  <si>
    <t xml:space="preserve">NDMC Budget book 2014-15 </t>
  </si>
  <si>
    <t>Detail of Power Purchase Quantum Station Wise (MU) (verified by SLDC) 2013-14</t>
  </si>
  <si>
    <t>As per data provided by NDMC commercial</t>
  </si>
  <si>
    <t>Revenue collected for 2013-14 - arrears recovered which were due prior to 2013-14</t>
  </si>
  <si>
    <t>Other charges' subtracted in lieu of surcharge</t>
  </si>
  <si>
    <t xml:space="preserve">Energy Balance </t>
  </si>
  <si>
    <t>Aggregate Revenue Requirement for 2015-16</t>
  </si>
  <si>
    <t>Energy Balance for FY 2013-14 and 2014-15</t>
  </si>
  <si>
    <t>AT&amp;C Loss for FY 2015-16</t>
  </si>
  <si>
    <t>PPS-III Bawana</t>
  </si>
  <si>
    <t>Cost (Rs. Cr)</t>
  </si>
  <si>
    <t>Avg Rate (Rs./kWh)</t>
  </si>
  <si>
    <t>2014-15</t>
  </si>
  <si>
    <t>Various Years CAGR (for Sales)</t>
  </si>
  <si>
    <t>For 2014-15</t>
  </si>
  <si>
    <t>For 2015-16</t>
  </si>
  <si>
    <t>Rebate on Power Purchase and Transmission Charges for FY 2015-16 (Rs. Crore)</t>
  </si>
  <si>
    <t>Aggregate Revenue Requirement for FY 2015-16 (Rs. Crore)</t>
  </si>
  <si>
    <t>Cost is calculated as net of rebate</t>
  </si>
  <si>
    <t>FY 2015-16 (Projected)</t>
  </si>
  <si>
    <t>Capital Expenditure and Capitalization for FY 2015-16 (Rs. Crore)</t>
  </si>
  <si>
    <t>Consumer's Contribution for FY 2015-16 (Rs. Crore)</t>
  </si>
  <si>
    <t>Consumer's Contribution for FY 2015-16</t>
  </si>
  <si>
    <t xml:space="preserve">Grants for FY 2015-16 </t>
  </si>
  <si>
    <t>Depreciation for FY 2015-16 (Rs. Crore)</t>
  </si>
  <si>
    <t>Depreciation for FY 2015-16</t>
  </si>
  <si>
    <t>Advance Against Depreciation for FY 2014-15</t>
  </si>
  <si>
    <t>Means of Finance for FY 2015-16 (Rs. Crore)</t>
  </si>
  <si>
    <t>Means of Finance for FY 2015-16</t>
  </si>
  <si>
    <t>Working Capital for FY 2014-15</t>
  </si>
  <si>
    <t>RRB for FY 2015-16</t>
  </si>
  <si>
    <t>Equity and Debt for FY 2014-15 and FY 2015-16</t>
  </si>
  <si>
    <t>Weighted Average Cost of Capital for FY 2014-15</t>
  </si>
  <si>
    <t>Return on Capital Employed (RoCE) for FY 2015-16 (Rs. Crore)</t>
  </si>
  <si>
    <t>Return on Capital Employed (RoCE) for FY 2015-16</t>
  </si>
  <si>
    <t>Income Tax for FY 2015-16 (Rs. Crore)</t>
  </si>
  <si>
    <t>Income Tax for FY 2015-16</t>
  </si>
  <si>
    <t>Non-Tariff Income for FY 2015-16 (Rs.Crore)</t>
  </si>
  <si>
    <t xml:space="preserve">Non-Tariff Income for FY 2015-16 </t>
  </si>
  <si>
    <t>As per revenue receipt provided by NDMC Commercial dept</t>
  </si>
  <si>
    <t>Adminstrative and Civil Emgineering Department expenses for FY 2015-16 (Rs. Crore)</t>
  </si>
  <si>
    <t>Civil  Engineering Department expenses</t>
  </si>
  <si>
    <t>Adminstrative department expenses</t>
  </si>
  <si>
    <t>Adminstrative and Civil Engineering Department</t>
  </si>
  <si>
    <t>Power Purchase from NTPC (including Dadri and BTPS)</t>
  </si>
  <si>
    <t>Power Purchase from SGS (including Renewable)</t>
  </si>
  <si>
    <t>excluding BTPS</t>
  </si>
  <si>
    <t>NA</t>
  </si>
  <si>
    <t>FY 14-15</t>
  </si>
  <si>
    <t>14-15</t>
  </si>
  <si>
    <t>Working Capital for FY 2015-16(Rs. Crore)</t>
  </si>
  <si>
    <t>FY 15-16</t>
  </si>
  <si>
    <t>15-16</t>
  </si>
  <si>
    <t>Weighted Average Cost of Capital for FY 2015-16</t>
  </si>
  <si>
    <t>Tariff Order FY 12-13</t>
  </si>
  <si>
    <t>2nd MYT order</t>
  </si>
  <si>
    <t>Revenue Billed</t>
  </si>
  <si>
    <t>Units Sold</t>
  </si>
  <si>
    <t>Domestic Single Delivery Point</t>
  </si>
  <si>
    <t>Non Domestic</t>
  </si>
  <si>
    <t>Small Industrial Power(SIP)</t>
  </si>
  <si>
    <t>Delhi Metro Rail
Corporation(DMRC)</t>
  </si>
  <si>
    <t>Temporary Connection more or
equal to 16 days</t>
  </si>
  <si>
    <t>JJ Cluster (Flat Rate)</t>
  </si>
  <si>
    <t>2015-16</t>
  </si>
  <si>
    <t>Dadri*</t>
  </si>
  <si>
    <t>Power from RE</t>
  </si>
  <si>
    <t>Rate as per CERC order</t>
  </si>
  <si>
    <t>Total cost for REC</t>
  </si>
  <si>
    <t>(J+(I*K))/(1+(8%/2)*K)</t>
  </si>
  <si>
    <t>Avg Billing Rate as per Current Tariff</t>
  </si>
  <si>
    <t>Solar Power</t>
  </si>
  <si>
    <t>A-B-C-D</t>
  </si>
  <si>
    <t>Particular</t>
  </si>
  <si>
    <t>Rate of increase for Projection</t>
  </si>
  <si>
    <t>Short Term Purchase</t>
  </si>
  <si>
    <t>Surplus Power Sold</t>
  </si>
  <si>
    <t>As per Tariff Order</t>
  </si>
  <si>
    <t xml:space="preserve">% increase </t>
  </si>
  <si>
    <t>Pro-rated</t>
  </si>
  <si>
    <t>Same rate as 2013-14</t>
  </si>
  <si>
    <t>Same rate as 14-15</t>
  </si>
  <si>
    <t>Power from Solar</t>
  </si>
  <si>
    <t>Power from waste to Energy</t>
  </si>
  <si>
    <t>Rate of Solar Power (Rs/kwh)</t>
  </si>
  <si>
    <t>Waste to Energy Cost (Rs. Crore)</t>
  </si>
  <si>
    <t>Increase in transmission charges</t>
  </si>
  <si>
    <t>Non-tariff income</t>
  </si>
  <si>
    <t xml:space="preserve">Gross O&amp;M expense </t>
  </si>
  <si>
    <t>Less:  Surcharge</t>
  </si>
  <si>
    <t>Less: Surcharge</t>
  </si>
  <si>
    <t>Trued Up Power Purchase Cost for FY 2013-14 (Rs. Crore)</t>
  </si>
  <si>
    <t>Public Notice Tables</t>
  </si>
  <si>
    <t>(PY)</t>
  </si>
  <si>
    <t>(CY)</t>
  </si>
  <si>
    <t>(EY)</t>
  </si>
  <si>
    <t>Energy Input for sale to consumers</t>
  </si>
  <si>
    <t>Energy Billed</t>
  </si>
  <si>
    <t>AT&amp;C losses for the year</t>
  </si>
  <si>
    <t>Average Power Purchase Rate</t>
  </si>
  <si>
    <t>Power Purchase Costs (includes Transmission Charges)</t>
  </si>
  <si>
    <t>Depreciation (including advance against depreciation)</t>
  </si>
  <si>
    <t>RoCE (Return + Interest)</t>
  </si>
  <si>
    <t>Less: Non-Tariff Income</t>
  </si>
  <si>
    <t>Revenue available at existing tariff</t>
  </si>
  <si>
    <t>Carrying Cost during the year</t>
  </si>
  <si>
    <t>FY 13-14</t>
  </si>
  <si>
    <t>Total PPC</t>
  </si>
  <si>
    <t>Gross PPC</t>
  </si>
  <si>
    <t>Surplus sale</t>
  </si>
  <si>
    <t>s</t>
  </si>
  <si>
    <t>As per tariff order</t>
  </si>
  <si>
    <t>Power Purchase from Solar</t>
  </si>
  <si>
    <t>Power Purchase from WtE</t>
  </si>
  <si>
    <t>As per NDMC payment net of rebate</t>
  </si>
  <si>
    <t>As per 2013-14</t>
  </si>
  <si>
    <t>Rs.</t>
  </si>
  <si>
    <t>As per T.O. 14-15</t>
  </si>
  <si>
    <t>Civil  Engineering Department expenses (Rs. Cr)</t>
  </si>
  <si>
    <t>Adminstrative department expenses (Rs. Cr.)</t>
  </si>
  <si>
    <t>Capital Expenditure (Rs. Cr)</t>
  </si>
  <si>
    <t>Capitalisation (Rs. Cr)</t>
  </si>
  <si>
    <t>2014-15 calculated at T10</t>
  </si>
  <si>
    <t>As per capitalisation details in mail by NDMC</t>
  </si>
  <si>
    <t>Commisson's Order for FY 2014-15</t>
  </si>
  <si>
    <t>Crores</t>
  </si>
  <si>
    <t>Distri Loss</t>
  </si>
  <si>
    <t>Reqd power for discom</t>
  </si>
  <si>
    <t>Power Purchase Rebate</t>
  </si>
  <si>
    <t>Rebate on transmission cost</t>
  </si>
  <si>
    <t>A.</t>
  </si>
  <si>
    <t>B.</t>
  </si>
  <si>
    <t>C.</t>
  </si>
  <si>
    <t>D.</t>
  </si>
  <si>
    <t>E.</t>
  </si>
  <si>
    <t>F.</t>
  </si>
  <si>
    <t>G.</t>
  </si>
  <si>
    <t>H.</t>
  </si>
  <si>
    <t>I.</t>
  </si>
  <si>
    <t>J.</t>
  </si>
  <si>
    <t>K.</t>
  </si>
  <si>
    <t>L.</t>
  </si>
  <si>
    <t>M.</t>
  </si>
  <si>
    <t>N.</t>
  </si>
  <si>
    <t>Revenue Gap/ Surplus at Existing Tariff</t>
  </si>
  <si>
    <t>O.</t>
  </si>
  <si>
    <t>Actual Sales from FY 2007-08 to FY 2014-15 (MU)</t>
  </si>
  <si>
    <t xml:space="preserve">Energy available from BTPS and SGS </t>
  </si>
  <si>
    <t>As per 13-14</t>
  </si>
  <si>
    <t xml:space="preserve">J&amp;K </t>
  </si>
  <si>
    <t xml:space="preserve"> TRIPURA </t>
  </si>
  <si>
    <t xml:space="preserve">ASSAM </t>
  </si>
  <si>
    <t>Short term purchase</t>
  </si>
  <si>
    <t>Rate of surplus power sale (Rs/kwh)</t>
  </si>
  <si>
    <t>Inter-state transmission loss</t>
  </si>
  <si>
    <t>Intra-state transmission loss</t>
  </si>
  <si>
    <t>July 2013 T.O.</t>
  </si>
  <si>
    <t>Opening Balance for 2012-13</t>
  </si>
  <si>
    <t>For calculation of CCR</t>
  </si>
  <si>
    <t>July 2014 T.O.</t>
  </si>
  <si>
    <t>Revenue Requirement 2012-13</t>
  </si>
  <si>
    <t>Revenue during 2012-13</t>
  </si>
  <si>
    <t>Target AT&amp;C loss level for 2014-15</t>
  </si>
  <si>
    <t xml:space="preserve">Actual AT&amp;C loss level for 2014-15 </t>
  </si>
  <si>
    <t>Add RoE</t>
  </si>
  <si>
    <t>Target AT&amp;C loss level for 2013-14</t>
  </si>
  <si>
    <t>PN</t>
  </si>
  <si>
    <t>Total Power Purchase Cost</t>
  </si>
  <si>
    <t>TPPC includes short term power purchase cost too</t>
  </si>
  <si>
    <t>Revenue (Gap)/ Surplus for 2013-14 (Rs. Crore)</t>
  </si>
  <si>
    <t>Total RoCE</t>
  </si>
  <si>
    <t>NDMC has not considered purchase of power from other sources under
short-term arrangement for 2015-16. In case of excess demand NDMC may first utilize the
quantum of Banked Energy and in case of further shortage they may purchase from
Bilateral/Exchange etc. so as to keep the short term power purchase cost at
minimum level.</t>
  </si>
  <si>
    <t>Rate of increase of power purchase cost</t>
  </si>
  <si>
    <t>does not include opening balance of 121.46 crore, after including opening balance revenue gap becomes</t>
  </si>
  <si>
    <t>Aggregate Revenue Requirement including carrying cost</t>
  </si>
  <si>
    <t>Tariff Categories</t>
  </si>
  <si>
    <t>Non – Domestic</t>
  </si>
  <si>
    <t>JJ clusters</t>
  </si>
  <si>
    <t>Rs/Kw/ Month</t>
  </si>
  <si>
    <t>Paisa / kWh</t>
  </si>
  <si>
    <t>Single delivery point on 11 kV for CGHS</t>
  </si>
  <si>
    <t>First 40%</t>
  </si>
  <si>
    <t>Proposed hike</t>
  </si>
  <si>
    <t xml:space="preserve">Upto 10 kW </t>
  </si>
  <si>
    <t>More than 10kW and less than and up to 100 kW/ 108 kVA</t>
  </si>
  <si>
    <t>More than 100 kW/ 108 kVA</t>
  </si>
  <si>
    <t>Where supply is given from NDMC sub-station</t>
  </si>
  <si>
    <t>Where applicant provides built up space for sub-stations</t>
  </si>
  <si>
    <t>Non – Domestic Low Tension</t>
  </si>
  <si>
    <t>Small Industrial Power</t>
  </si>
  <si>
    <t xml:space="preserve">Public Lighting </t>
  </si>
  <si>
    <t>Street Lighting (metered)</t>
  </si>
  <si>
    <t>Street Lighting  (unmetered)</t>
  </si>
  <si>
    <t>(Rs/kvA/ month)</t>
  </si>
  <si>
    <t>(Paisa/kVAh)</t>
  </si>
  <si>
    <t>Rs/month/ hoarding</t>
  </si>
  <si>
    <t>Paisa/ KVAh</t>
  </si>
  <si>
    <t>Power Purchase Quantum for FY 2013-14 (calculated as net of rebate in MUs)</t>
  </si>
  <si>
    <t>Total (Rs Crore)</t>
  </si>
  <si>
    <t>Details of Rebatable and Non-Rebatable Amount (Rs Crore)</t>
  </si>
  <si>
    <t>8=6*7</t>
  </si>
  <si>
    <t xml:space="preserve"> 2015-16</t>
  </si>
  <si>
    <t>Opening Gap for FY (n-2)</t>
  </si>
  <si>
    <t>Revenue Requirement for FY (n-2)</t>
  </si>
  <si>
    <t>Revenue during FY (n-2)</t>
  </si>
  <si>
    <t>(Gap)/ Surplus for FY (n-2)</t>
  </si>
  <si>
    <t>Surcharge for FY (n-2)</t>
  </si>
  <si>
    <t>Net (Gap)/ Surplus for FY (n-2)</t>
  </si>
  <si>
    <t>Closing balance of (Gap)/ Surplus at the end of FY (n-2)</t>
  </si>
  <si>
    <t>Revenue Requirement for FY 'n'</t>
  </si>
  <si>
    <t>Total Revenue Requirement including 8% Surcharge and Carrying Cost for FY 'n'</t>
  </si>
  <si>
    <t>Aggregate Revenue Requirement (Rs. Crore)</t>
  </si>
  <si>
    <t>Revenue (Gap)/Surplus at Existing Tariff  (Rs. Crore)</t>
  </si>
  <si>
    <t>RRB (Rs. Crore)</t>
  </si>
  <si>
    <t>Flat rate (Rs./month)</t>
  </si>
  <si>
    <t>Non-Domestic High Tension For supply at 11 kv and above (for load greater than 108kVA)</t>
  </si>
  <si>
    <t>Proposed Rate for 2015-16</t>
  </si>
  <si>
    <t>Existing Rate Approved as per Tariff Order 2014-15</t>
  </si>
  <si>
    <t>Existing Revenue</t>
  </si>
  <si>
    <t>Rs. Crore </t>
  </si>
  <si>
    <t> Rs. Crore</t>
  </si>
  <si>
    <t>Revised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</si>
</sst>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(&quot;$&quot;* #,##0_);_(&quot;$&quot;* \(#,##0\);_(&quot;$&quot;* &quot;-&quot;_);_(@_)"/>
    <numFmt numFmtId="43" formatCode="_(* #,##0.00_);_(* \(#,##0.00\);_(* &quot;-&quot;??_);_(@_)"/>
    <numFmt numFmtId="164" formatCode="_-* #,##0.00_-;\-* #,##0.00_-;_-* &quot;-&quot;??_-;_-@_-"/>
    <numFmt numFmtId="165" formatCode="0.00_)"/>
    <numFmt numFmtId="166" formatCode="&quot;ß&quot;#,##0.00_);\(&quot;ß&quot;#,##0.00\)"/>
    <numFmt numFmtId="167" formatCode="0.000"/>
    <numFmt numFmtId="168" formatCode="0.0%"/>
    <numFmt numFmtId="169" formatCode="###0.00;###0.00"/>
    <numFmt numFmtId="170" formatCode="0.0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8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5" fillId="0" borderId="0" applyNumberFormat="0" applyFill="0" applyBorder="0" applyAlignment="0" applyProtection="0"/>
    <xf numFmtId="0" fontId="6" fillId="0" borderId="4"/>
    <xf numFmtId="42" fontId="4" fillId="0" borderId="0"/>
    <xf numFmtId="0" fontId="6" fillId="0" borderId="4"/>
    <xf numFmtId="38" fontId="7" fillId="2" borderId="0" applyNumberFormat="0" applyBorder="0" applyAlignment="0" applyProtection="0"/>
    <xf numFmtId="0" fontId="8" fillId="0" borderId="3" applyNumberFormat="0" applyAlignment="0" applyProtection="0">
      <alignment horizontal="left" vertical="center"/>
    </xf>
    <xf numFmtId="0" fontId="8" fillId="0" borderId="2">
      <alignment horizontal="left" vertical="center"/>
    </xf>
    <xf numFmtId="10" fontId="7" fillId="3" borderId="1" applyNumberFormat="0" applyBorder="0" applyAlignment="0" applyProtection="0"/>
    <xf numFmtId="37" fontId="9" fillId="0" borderId="0"/>
    <xf numFmtId="165" fontId="10" fillId="0" borderId="0"/>
    <xf numFmtId="0" fontId="4" fillId="0" borderId="0"/>
    <xf numFmtId="166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17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1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4" fontId="16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7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10" fontId="0" fillId="0" borderId="1" xfId="26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7" fontId="0" fillId="0" borderId="0" xfId="0" applyNumberFormat="1" applyFill="1" applyAlignment="1">
      <alignment horizontal="center" vertical="center" wrapText="1"/>
    </xf>
    <xf numFmtId="17" fontId="2" fillId="0" borderId="1" xfId="0" applyNumberFormat="1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0" fontId="0" fillId="0" borderId="0" xfId="26" applyNumberFormat="1" applyFont="1" applyAlignment="1">
      <alignment horizontal="center" vertical="center" wrapText="1"/>
    </xf>
    <xf numFmtId="10" fontId="2" fillId="0" borderId="1" xfId="26" applyNumberFormat="1" applyFont="1" applyBorder="1" applyAlignment="1">
      <alignment horizontal="center" vertical="center" wrapText="1"/>
    </xf>
    <xf numFmtId="10" fontId="0" fillId="0" borderId="0" xfId="26" applyNumberFormat="1" applyFont="1"/>
    <xf numFmtId="1" fontId="0" fillId="0" borderId="1" xfId="26" applyNumberFormat="1" applyFont="1" applyBorder="1" applyAlignment="1">
      <alignment horizontal="center" vertical="center" wrapText="1"/>
    </xf>
    <xf numFmtId="10" fontId="1" fillId="0" borderId="1" xfId="26" applyNumberFormat="1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167" fontId="0" fillId="0" borderId="1" xfId="0" applyNumberFormat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center" wrapText="1"/>
    </xf>
    <xf numFmtId="10" fontId="0" fillId="0" borderId="1" xfId="0" applyNumberFormat="1" applyFill="1" applyBorder="1" applyAlignment="1">
      <alignment horizontal="center" vertical="center" wrapText="1"/>
    </xf>
    <xf numFmtId="0" fontId="0" fillId="0" borderId="0" xfId="0" quotePrefix="1" applyAlignment="1">
      <alignment horizontal="center" vertical="center" wrapText="1"/>
    </xf>
    <xf numFmtId="9" fontId="0" fillId="0" borderId="1" xfId="26" applyFont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0" fontId="0" fillId="0" borderId="1" xfId="26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2" fontId="2" fillId="0" borderId="0" xfId="0" applyNumberFormat="1" applyFont="1" applyFill="1" applyAlignment="1">
      <alignment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7" fillId="0" borderId="0" xfId="25" applyFont="1" applyAlignment="1">
      <alignment horizontal="center" vertical="center"/>
    </xf>
    <xf numFmtId="0" fontId="17" fillId="0" borderId="0" xfId="25" quotePrefix="1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2" fontId="0" fillId="0" borderId="0" xfId="0" applyNumberFormat="1" applyFill="1" applyAlignment="1">
      <alignment horizontal="center" vertical="center" wrapText="1"/>
    </xf>
    <xf numFmtId="10" fontId="0" fillId="0" borderId="0" xfId="0" applyNumberFormat="1" applyFill="1" applyAlignment="1">
      <alignment horizontal="center" vertical="center" wrapText="1"/>
    </xf>
    <xf numFmtId="10" fontId="0" fillId="0" borderId="0" xfId="26" applyNumberFormat="1" applyFont="1" applyFill="1" applyAlignment="1">
      <alignment horizontal="center" vertical="center" wrapText="1"/>
    </xf>
    <xf numFmtId="167" fontId="0" fillId="0" borderId="0" xfId="0" applyNumberFormat="1" applyFill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0" fontId="13" fillId="0" borderId="1" xfId="0" applyNumberFormat="1" applyFont="1" applyBorder="1" applyAlignment="1">
      <alignment horizontal="center" vertical="center" wrapText="1"/>
    </xf>
    <xf numFmtId="10" fontId="13" fillId="0" borderId="1" xfId="26" applyNumberFormat="1" applyFont="1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2" fontId="0" fillId="0" borderId="0" xfId="0" applyNumberFormat="1" applyFont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13" fillId="0" borderId="1" xfId="7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2" fontId="13" fillId="0" borderId="1" xfId="8" applyNumberFormat="1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 wrapText="1"/>
    </xf>
    <xf numFmtId="169" fontId="13" fillId="0" borderId="1" xfId="0" applyNumberFormat="1" applyFont="1" applyFill="1" applyBorder="1" applyAlignment="1">
      <alignment horizontal="center" vertical="center"/>
    </xf>
    <xf numFmtId="9" fontId="0" fillId="0" borderId="1" xfId="0" applyNumberFormat="1" applyFont="1" applyBorder="1" applyAlignment="1">
      <alignment horizontal="center" vertical="center" wrapText="1"/>
    </xf>
    <xf numFmtId="2" fontId="0" fillId="0" borderId="1" xfId="0" applyNumberFormat="1" applyFont="1" applyFill="1" applyBorder="1" applyAlignment="1">
      <alignment horizontal="center" vertical="center" wrapText="1"/>
    </xf>
    <xf numFmtId="2" fontId="0" fillId="0" borderId="5" xfId="0" applyNumberFormat="1" applyFont="1" applyBorder="1" applyAlignment="1">
      <alignment horizontal="center" vertical="center" wrapText="1"/>
    </xf>
    <xf numFmtId="2" fontId="0" fillId="0" borderId="6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7" fontId="13" fillId="0" borderId="0" xfId="0" applyNumberFormat="1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/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167" fontId="0" fillId="0" borderId="1" xfId="0" applyNumberFormat="1" applyFont="1" applyFill="1" applyBorder="1" applyAlignment="1">
      <alignment horizontal="center" vertical="center"/>
    </xf>
    <xf numFmtId="43" fontId="0" fillId="0" borderId="1" xfId="27" applyFont="1" applyBorder="1" applyAlignment="1">
      <alignment horizontal="center" vertical="center"/>
    </xf>
    <xf numFmtId="43" fontId="0" fillId="0" borderId="1" xfId="27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9" fontId="0" fillId="0" borderId="1" xfId="26" applyFont="1" applyBorder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9" fontId="0" fillId="0" borderId="0" xfId="26" applyFont="1" applyAlignment="1">
      <alignment horizontal="center" vertical="center"/>
    </xf>
    <xf numFmtId="168" fontId="0" fillId="0" borderId="0" xfId="26" applyNumberFormat="1" applyFont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0" fillId="0" borderId="5" xfId="0" applyNumberFormat="1" applyFont="1" applyBorder="1" applyAlignment="1">
      <alignment vertical="center" wrapText="1"/>
    </xf>
    <xf numFmtId="2" fontId="0" fillId="0" borderId="6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43" fontId="0" fillId="0" borderId="1" xfId="0" applyNumberFormat="1" applyFont="1" applyBorder="1" applyAlignment="1">
      <alignment horizontal="center" vertical="center" wrapText="1"/>
    </xf>
    <xf numFmtId="43" fontId="2" fillId="0" borderId="1" xfId="27" applyNumberFormat="1" applyFont="1" applyBorder="1" applyAlignment="1">
      <alignment horizontal="center" vertical="center" wrapText="1"/>
    </xf>
    <xf numFmtId="43" fontId="2" fillId="0" borderId="1" xfId="27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center" vertical="center" wrapText="1"/>
    </xf>
    <xf numFmtId="43" fontId="0" fillId="0" borderId="1" xfId="27" applyNumberFormat="1" applyFont="1" applyBorder="1" applyAlignment="1">
      <alignment horizontal="center" vertical="center" wrapText="1"/>
    </xf>
    <xf numFmtId="43" fontId="0" fillId="7" borderId="1" xfId="27" applyNumberFormat="1" applyFont="1" applyFill="1" applyBorder="1" applyAlignment="1">
      <alignment horizontal="center" vertical="center" wrapText="1"/>
    </xf>
    <xf numFmtId="2" fontId="0" fillId="0" borderId="1" xfId="27" applyNumberFormat="1" applyFont="1" applyBorder="1" applyAlignment="1">
      <alignment horizontal="center" vertical="center" wrapText="1"/>
    </xf>
    <xf numFmtId="43" fontId="0" fillId="0" borderId="0" xfId="0" applyNumberFormat="1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2" fontId="0" fillId="0" borderId="0" xfId="0" applyNumberFormat="1" applyFill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 wrapText="1"/>
    </xf>
    <xf numFmtId="10" fontId="0" fillId="0" borderId="0" xfId="0" applyNumberForma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9" fontId="0" fillId="0" borderId="1" xfId="0" applyNumberFormat="1" applyFill="1" applyBorder="1" applyAlignment="1">
      <alignment horizontal="center" vertical="center"/>
    </xf>
    <xf numFmtId="10" fontId="0" fillId="0" borderId="1" xfId="0" applyNumberFormat="1" applyFont="1" applyFill="1" applyBorder="1" applyAlignment="1">
      <alignment horizontal="center" vertical="center" wrapText="1"/>
    </xf>
    <xf numFmtId="9" fontId="0" fillId="0" borderId="1" xfId="0" applyNumberFormat="1" applyFont="1" applyFill="1" applyBorder="1" applyAlignment="1">
      <alignment horizontal="center" vertical="center" wrapText="1"/>
    </xf>
    <xf numFmtId="10" fontId="0" fillId="0" borderId="1" xfId="0" applyNumberForma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2" fontId="0" fillId="0" borderId="10" xfId="0" applyNumberFormat="1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17" fillId="0" borderId="0" xfId="25" applyAlignment="1">
      <alignment horizontal="center" vertic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10" fontId="0" fillId="0" borderId="1" xfId="26" applyNumberFormat="1" applyFont="1" applyBorder="1" applyAlignment="1">
      <alignment horizontal="center"/>
    </xf>
    <xf numFmtId="168" fontId="0" fillId="0" borderId="1" xfId="26" applyNumberFormat="1" applyFont="1" applyBorder="1" applyAlignment="1">
      <alignment horizontal="center"/>
    </xf>
    <xf numFmtId="10" fontId="0" fillId="0" borderId="1" xfId="26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70" fontId="0" fillId="0" borderId="0" xfId="0" applyNumberFormat="1" applyAlignment="1">
      <alignment horizontal="center" vertical="center"/>
    </xf>
    <xf numFmtId="10" fontId="0" fillId="0" borderId="5" xfId="0" applyNumberFormat="1" applyBorder="1" applyAlignment="1">
      <alignment horizontal="center" vertical="center"/>
    </xf>
    <xf numFmtId="10" fontId="0" fillId="0" borderId="9" xfId="0" applyNumberForma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10" fontId="15" fillId="0" borderId="1" xfId="0" applyNumberFormat="1" applyFont="1" applyBorder="1" applyAlignment="1">
      <alignment horizontal="center" vertical="center" wrapText="1"/>
    </xf>
    <xf numFmtId="2" fontId="15" fillId="5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2" fontId="0" fillId="0" borderId="0" xfId="0" applyNumberFormat="1" applyFont="1" applyAlignment="1">
      <alignment wrapText="1"/>
    </xf>
    <xf numFmtId="0" fontId="0" fillId="0" borderId="5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2" fontId="2" fillId="0" borderId="1" xfId="0" applyNumberFormat="1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167" fontId="0" fillId="0" borderId="1" xfId="0" applyNumberForma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0" fillId="0" borderId="5" xfId="0" applyFill="1" applyBorder="1" applyAlignment="1">
      <alignment horizontal="center" vertical="center" wrapText="1"/>
    </xf>
    <xf numFmtId="10" fontId="0" fillId="0" borderId="5" xfId="26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0" fillId="5" borderId="0" xfId="0" applyFont="1" applyFill="1" applyBorder="1" applyAlignment="1">
      <alignment wrapText="1"/>
    </xf>
    <xf numFmtId="0" fontId="14" fillId="4" borderId="0" xfId="1" applyFont="1" applyFill="1" applyAlignment="1">
      <alignment horizontal="center" vertical="center"/>
    </xf>
    <xf numFmtId="0" fontId="23" fillId="4" borderId="0" xfId="1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2" fontId="0" fillId="0" borderId="5" xfId="0" applyNumberFormat="1" applyFont="1" applyBorder="1" applyAlignment="1">
      <alignment horizontal="center" vertical="center" wrapText="1"/>
    </xf>
    <xf numFmtId="2" fontId="0" fillId="0" borderId="6" xfId="0" applyNumberFormat="1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0" fontId="2" fillId="4" borderId="0" xfId="26" applyNumberFormat="1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2" fontId="0" fillId="0" borderId="5" xfId="0" applyNumberForma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 wrapText="1"/>
    </xf>
    <xf numFmtId="2" fontId="0" fillId="0" borderId="7" xfId="0" applyNumberFormat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/>
    </xf>
    <xf numFmtId="0" fontId="2" fillId="4" borderId="0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2" fontId="13" fillId="0" borderId="5" xfId="0" applyNumberFormat="1" applyFont="1" applyBorder="1" applyAlignment="1">
      <alignment horizontal="center" vertical="center" wrapText="1"/>
    </xf>
    <xf numFmtId="2" fontId="13" fillId="0" borderId="7" xfId="0" applyNumberFormat="1" applyFont="1" applyBorder="1" applyAlignment="1">
      <alignment horizontal="center" vertical="center" wrapText="1"/>
    </xf>
    <xf numFmtId="2" fontId="13" fillId="0" borderId="6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17" fontId="14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2" fillId="4" borderId="0" xfId="0" applyFont="1" applyFill="1" applyAlignment="1">
      <alignment horizontal="center" wrapText="1"/>
    </xf>
    <xf numFmtId="0" fontId="0" fillId="0" borderId="0" xfId="0" applyAlignment="1">
      <alignment horizontal="center"/>
    </xf>
    <xf numFmtId="0" fontId="16" fillId="0" borderId="1" xfId="0" applyFont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8" borderId="8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2" fillId="8" borderId="10" xfId="0" applyFont="1" applyFill="1" applyBorder="1" applyAlignment="1">
      <alignment horizontal="center" vertical="center" wrapText="1"/>
    </xf>
    <xf numFmtId="0" fontId="16" fillId="8" borderId="8" xfId="0" applyFont="1" applyFill="1" applyBorder="1" applyAlignment="1">
      <alignment horizontal="center" vertical="center" wrapText="1"/>
    </xf>
    <xf numFmtId="0" fontId="16" fillId="8" borderId="2" xfId="0" applyFont="1" applyFill="1" applyBorder="1" applyAlignment="1">
      <alignment horizontal="center" vertical="center" wrapText="1"/>
    </xf>
    <xf numFmtId="0" fontId="16" fillId="8" borderId="10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</cellXfs>
  <cellStyles count="28">
    <cellStyle name="Body" xfId="10"/>
    <cellStyle name="Comma" xfId="27" builtinId="3"/>
    <cellStyle name="Comma  - Style1" xfId="11"/>
    <cellStyle name="Comma 2" xfId="2"/>
    <cellStyle name="Comma 3" xfId="12"/>
    <cellStyle name="Curren - Style2" xfId="13"/>
    <cellStyle name="Grey" xfId="14"/>
    <cellStyle name="Header1" xfId="15"/>
    <cellStyle name="Header2" xfId="16"/>
    <cellStyle name="Hyperlink" xfId="25" builtinId="8"/>
    <cellStyle name="Input [yellow]" xfId="17"/>
    <cellStyle name="no dec" xfId="18"/>
    <cellStyle name="Normal" xfId="0" builtinId="0"/>
    <cellStyle name="Normal - Style1" xfId="19"/>
    <cellStyle name="Normal 10" xfId="5"/>
    <cellStyle name="Normal 2" xfId="4"/>
    <cellStyle name="Normal 3" xfId="7"/>
    <cellStyle name="Normal 3 2" xfId="24"/>
    <cellStyle name="Normal 3_JKPDD_Power Purchase" xfId="3"/>
    <cellStyle name="Normal 4" xfId="9"/>
    <cellStyle name="Normal 5" xfId="20"/>
    <cellStyle name="Normal 6" xfId="8"/>
    <cellStyle name="Normal 7" xfId="1"/>
    <cellStyle name="Percent" xfId="26" builtinId="5"/>
    <cellStyle name="Percent [0]_#6 Temps &amp; Contractors" xfId="21"/>
    <cellStyle name="Percent [2]" xfId="22"/>
    <cellStyle name="Percent 2" xfId="6"/>
    <cellStyle name="Percent 3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5.bin"/><Relationship Id="rId1" Type="http://schemas.openxmlformats.org/officeDocument/2006/relationships/printerSettings" Target="../printerSettings/printerSettings24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5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9"/>
  <sheetViews>
    <sheetView tabSelected="1" topLeftCell="A88" workbookViewId="0">
      <selection activeCell="C111" sqref="C111"/>
    </sheetView>
  </sheetViews>
  <sheetFormatPr defaultRowHeight="15" x14ac:dyDescent="0.25"/>
  <cols>
    <col min="1" max="1" width="9.140625" style="91"/>
    <col min="2" max="2" width="26.140625" style="91" customWidth="1"/>
    <col min="3" max="3" width="70.5703125" style="91" customWidth="1"/>
    <col min="4" max="16384" width="9.140625" style="91"/>
  </cols>
  <sheetData>
    <row r="2" spans="1:10" x14ac:dyDescent="0.25">
      <c r="A2" s="235" t="s">
        <v>0</v>
      </c>
      <c r="B2" s="235"/>
      <c r="C2" s="235"/>
      <c r="D2" s="235"/>
      <c r="E2" s="235"/>
      <c r="F2" s="93"/>
      <c r="G2" s="93"/>
      <c r="H2" s="93"/>
      <c r="I2" s="93"/>
    </row>
    <row r="3" spans="1:10" x14ac:dyDescent="0.25">
      <c r="A3" s="236" t="s">
        <v>1</v>
      </c>
      <c r="B3" s="236"/>
      <c r="C3" s="236"/>
      <c r="D3" s="236"/>
      <c r="E3" s="236"/>
      <c r="F3" s="93"/>
      <c r="G3" s="93"/>
      <c r="H3" s="93"/>
      <c r="I3" s="93"/>
      <c r="J3" s="93"/>
    </row>
    <row r="4" spans="1:10" x14ac:dyDescent="0.25">
      <c r="A4" s="236"/>
      <c r="B4" s="236"/>
      <c r="C4" s="236"/>
      <c r="D4" s="236"/>
      <c r="E4" s="236"/>
      <c r="F4" s="93"/>
      <c r="G4" s="93"/>
      <c r="H4" s="93"/>
      <c r="I4" s="93"/>
      <c r="J4" s="93"/>
    </row>
    <row r="6" spans="1:10" x14ac:dyDescent="0.25">
      <c r="A6" s="87" t="s">
        <v>2</v>
      </c>
      <c r="B6" s="87" t="s">
        <v>4</v>
      </c>
      <c r="C6" s="87" t="s">
        <v>3</v>
      </c>
    </row>
    <row r="8" spans="1:10" x14ac:dyDescent="0.25">
      <c r="C8" s="88" t="s">
        <v>607</v>
      </c>
      <c r="D8" s="93"/>
      <c r="E8" s="93"/>
    </row>
    <row r="9" spans="1:10" x14ac:dyDescent="0.25">
      <c r="A9" s="91">
        <v>1</v>
      </c>
      <c r="B9" s="94" t="s">
        <v>417</v>
      </c>
      <c r="C9" s="91" t="s">
        <v>414</v>
      </c>
      <c r="D9" s="93"/>
      <c r="E9" s="93"/>
    </row>
    <row r="10" spans="1:10" x14ac:dyDescent="0.25">
      <c r="A10" s="91">
        <v>2</v>
      </c>
      <c r="B10" s="94" t="s">
        <v>419</v>
      </c>
      <c r="C10" s="91" t="s">
        <v>418</v>
      </c>
      <c r="D10" s="93"/>
      <c r="E10" s="93"/>
    </row>
    <row r="11" spans="1:10" x14ac:dyDescent="0.25">
      <c r="A11" s="91">
        <f>A10+1</f>
        <v>3</v>
      </c>
      <c r="B11" s="95" t="s">
        <v>419</v>
      </c>
      <c r="C11" s="91" t="s">
        <v>422</v>
      </c>
      <c r="D11" s="93"/>
      <c r="E11" s="93"/>
    </row>
    <row r="12" spans="1:10" x14ac:dyDescent="0.25">
      <c r="A12" s="91">
        <f t="shared" ref="A12:A39" si="0">A11+1</f>
        <v>4</v>
      </c>
      <c r="B12" s="95" t="s">
        <v>419</v>
      </c>
      <c r="C12" s="91" t="s">
        <v>651</v>
      </c>
      <c r="D12" s="93"/>
      <c r="E12" s="93"/>
    </row>
    <row r="13" spans="1:10" x14ac:dyDescent="0.25">
      <c r="A13" s="91">
        <f t="shared" si="0"/>
        <v>5</v>
      </c>
      <c r="B13" s="95" t="s">
        <v>440</v>
      </c>
      <c r="C13" s="91" t="s">
        <v>439</v>
      </c>
      <c r="D13" s="93"/>
      <c r="E13" s="93"/>
    </row>
    <row r="14" spans="1:10" x14ac:dyDescent="0.25">
      <c r="A14" s="91">
        <f t="shared" si="0"/>
        <v>6</v>
      </c>
      <c r="B14" s="94" t="s">
        <v>440</v>
      </c>
      <c r="C14" s="91" t="s">
        <v>447</v>
      </c>
      <c r="D14" s="93"/>
      <c r="E14" s="93"/>
    </row>
    <row r="15" spans="1:10" x14ac:dyDescent="0.25">
      <c r="A15" s="91">
        <f t="shared" si="0"/>
        <v>7</v>
      </c>
      <c r="B15" s="94" t="s">
        <v>452</v>
      </c>
      <c r="C15" s="91" t="s">
        <v>451</v>
      </c>
      <c r="D15" s="93"/>
      <c r="E15" s="93"/>
    </row>
    <row r="16" spans="1:10" x14ac:dyDescent="0.25">
      <c r="A16" s="91">
        <f t="shared" si="0"/>
        <v>8</v>
      </c>
      <c r="B16" s="94" t="s">
        <v>452</v>
      </c>
      <c r="C16" s="91" t="s">
        <v>461</v>
      </c>
      <c r="D16" s="93"/>
      <c r="E16" s="93"/>
    </row>
    <row r="17" spans="1:5" x14ac:dyDescent="0.25">
      <c r="A17" s="91">
        <f t="shared" si="0"/>
        <v>9</v>
      </c>
      <c r="B17" s="94" t="s">
        <v>452</v>
      </c>
      <c r="C17" s="91" t="s">
        <v>466</v>
      </c>
      <c r="D17" s="93"/>
      <c r="E17" s="93"/>
    </row>
    <row r="18" spans="1:5" x14ac:dyDescent="0.25">
      <c r="A18" s="91">
        <f t="shared" si="0"/>
        <v>10</v>
      </c>
      <c r="B18" s="94" t="s">
        <v>468</v>
      </c>
      <c r="C18" s="91" t="s">
        <v>467</v>
      </c>
      <c r="D18" s="89"/>
      <c r="E18" s="93"/>
    </row>
    <row r="19" spans="1:5" x14ac:dyDescent="0.25">
      <c r="A19" s="91">
        <f t="shared" si="0"/>
        <v>11</v>
      </c>
      <c r="B19" s="94" t="s">
        <v>472</v>
      </c>
      <c r="C19" s="91" t="s">
        <v>471</v>
      </c>
      <c r="D19" s="93"/>
      <c r="E19" s="93"/>
    </row>
    <row r="20" spans="1:5" x14ac:dyDescent="0.25">
      <c r="A20" s="91">
        <f t="shared" si="0"/>
        <v>12</v>
      </c>
      <c r="B20" s="94" t="s">
        <v>472</v>
      </c>
      <c r="C20" s="91" t="s">
        <v>474</v>
      </c>
      <c r="D20" s="93"/>
      <c r="E20" s="93"/>
    </row>
    <row r="21" spans="1:5" x14ac:dyDescent="0.25">
      <c r="A21" s="91">
        <f t="shared" si="0"/>
        <v>13</v>
      </c>
      <c r="B21" s="94" t="s">
        <v>472</v>
      </c>
      <c r="C21" s="91" t="s">
        <v>476</v>
      </c>
      <c r="D21" s="93"/>
      <c r="E21" s="93"/>
    </row>
    <row r="22" spans="1:5" x14ac:dyDescent="0.25">
      <c r="A22" s="91">
        <f t="shared" si="0"/>
        <v>14</v>
      </c>
      <c r="B22" s="94" t="s">
        <v>472</v>
      </c>
      <c r="C22" s="91" t="s">
        <v>477</v>
      </c>
      <c r="D22" s="90"/>
      <c r="E22" s="93"/>
    </row>
    <row r="23" spans="1:5" x14ac:dyDescent="0.25">
      <c r="A23" s="91">
        <f t="shared" si="0"/>
        <v>15</v>
      </c>
      <c r="B23" s="94" t="s">
        <v>483</v>
      </c>
      <c r="C23" s="91" t="s">
        <v>482</v>
      </c>
      <c r="D23" s="93"/>
      <c r="E23" s="93"/>
    </row>
    <row r="24" spans="1:5" x14ac:dyDescent="0.25">
      <c r="A24" s="91">
        <f t="shared" si="0"/>
        <v>16</v>
      </c>
      <c r="B24" s="94" t="s">
        <v>483</v>
      </c>
      <c r="C24" s="91" t="s">
        <v>491</v>
      </c>
      <c r="D24" s="93"/>
      <c r="E24" s="93"/>
    </row>
    <row r="25" spans="1:5" x14ac:dyDescent="0.25">
      <c r="A25" s="91">
        <f t="shared" si="0"/>
        <v>17</v>
      </c>
      <c r="B25" s="94" t="s">
        <v>503</v>
      </c>
      <c r="C25" s="91" t="s">
        <v>502</v>
      </c>
      <c r="D25" s="93"/>
      <c r="E25" s="93"/>
    </row>
    <row r="26" spans="1:5" x14ac:dyDescent="0.25">
      <c r="A26" s="91">
        <f t="shared" si="0"/>
        <v>18</v>
      </c>
      <c r="B26" s="94" t="s">
        <v>503</v>
      </c>
      <c r="C26" s="91" t="s">
        <v>510</v>
      </c>
      <c r="D26" s="93"/>
      <c r="E26" s="93"/>
    </row>
    <row r="27" spans="1:5" x14ac:dyDescent="0.25">
      <c r="A27" s="91">
        <f t="shared" si="0"/>
        <v>19</v>
      </c>
      <c r="B27" s="94" t="s">
        <v>513</v>
      </c>
      <c r="C27" s="91" t="s">
        <v>512</v>
      </c>
      <c r="D27" s="93"/>
      <c r="E27" s="93"/>
    </row>
    <row r="28" spans="1:5" x14ac:dyDescent="0.25">
      <c r="A28" s="91">
        <f t="shared" si="0"/>
        <v>20</v>
      </c>
      <c r="B28" s="94" t="s">
        <v>513</v>
      </c>
      <c r="C28" s="91" t="s">
        <v>519</v>
      </c>
      <c r="D28" s="93"/>
      <c r="E28" s="93"/>
    </row>
    <row r="29" spans="1:5" x14ac:dyDescent="0.25">
      <c r="A29" s="91">
        <f t="shared" si="0"/>
        <v>21</v>
      </c>
      <c r="B29" s="94" t="s">
        <v>535</v>
      </c>
      <c r="C29" s="91" t="s">
        <v>534</v>
      </c>
      <c r="D29" s="93"/>
      <c r="E29" s="93"/>
    </row>
    <row r="30" spans="1:5" x14ac:dyDescent="0.25">
      <c r="A30" s="91">
        <f t="shared" si="0"/>
        <v>22</v>
      </c>
      <c r="B30" s="94" t="s">
        <v>559</v>
      </c>
      <c r="C30" s="91" t="s">
        <v>558</v>
      </c>
      <c r="D30" s="93"/>
      <c r="E30" s="93"/>
    </row>
    <row r="31" spans="1:5" x14ac:dyDescent="0.25">
      <c r="A31" s="91">
        <f t="shared" si="0"/>
        <v>23</v>
      </c>
      <c r="B31" s="94" t="s">
        <v>568</v>
      </c>
      <c r="C31" s="91" t="s">
        <v>567</v>
      </c>
      <c r="D31" s="93"/>
      <c r="E31" s="93"/>
    </row>
    <row r="32" spans="1:5" x14ac:dyDescent="0.25">
      <c r="A32" s="91">
        <f t="shared" si="0"/>
        <v>24</v>
      </c>
      <c r="B32" s="94" t="s">
        <v>568</v>
      </c>
      <c r="C32" s="91" t="s">
        <v>577</v>
      </c>
      <c r="D32" s="93"/>
      <c r="E32" s="93"/>
    </row>
    <row r="33" spans="1:5" x14ac:dyDescent="0.25">
      <c r="A33" s="91">
        <f t="shared" si="0"/>
        <v>25</v>
      </c>
      <c r="B33" s="94" t="s">
        <v>568</v>
      </c>
      <c r="C33" s="91" t="s">
        <v>590</v>
      </c>
      <c r="D33" s="93"/>
      <c r="E33" s="93"/>
    </row>
    <row r="34" spans="1:5" x14ac:dyDescent="0.25">
      <c r="A34" s="91">
        <f t="shared" si="0"/>
        <v>26</v>
      </c>
      <c r="B34" s="94" t="s">
        <v>568</v>
      </c>
      <c r="C34" s="91" t="s">
        <v>354</v>
      </c>
      <c r="D34" s="93"/>
      <c r="E34" s="93"/>
    </row>
    <row r="35" spans="1:5" x14ac:dyDescent="0.25">
      <c r="A35" s="91">
        <f t="shared" si="0"/>
        <v>27</v>
      </c>
      <c r="B35" s="94" t="s">
        <v>568</v>
      </c>
      <c r="C35" s="91" t="s">
        <v>600</v>
      </c>
      <c r="D35" s="93"/>
      <c r="E35" s="93"/>
    </row>
    <row r="36" spans="1:5" x14ac:dyDescent="0.25">
      <c r="A36" s="91">
        <f t="shared" si="0"/>
        <v>28</v>
      </c>
      <c r="B36" s="95" t="s">
        <v>616</v>
      </c>
      <c r="C36" s="91" t="s">
        <v>376</v>
      </c>
      <c r="D36" s="93"/>
      <c r="E36" s="93"/>
    </row>
    <row r="37" spans="1:5" x14ac:dyDescent="0.25">
      <c r="A37" s="91">
        <f t="shared" si="0"/>
        <v>29</v>
      </c>
      <c r="B37" s="95" t="s">
        <v>636</v>
      </c>
      <c r="C37" s="91" t="s">
        <v>634</v>
      </c>
      <c r="D37" s="93"/>
      <c r="E37" s="93"/>
    </row>
    <row r="38" spans="1:5" x14ac:dyDescent="0.25">
      <c r="A38" s="91">
        <f t="shared" si="0"/>
        <v>30</v>
      </c>
      <c r="B38" s="94" t="s">
        <v>636</v>
      </c>
      <c r="C38" s="91" t="s">
        <v>635</v>
      </c>
      <c r="D38" s="93"/>
      <c r="E38" s="93"/>
    </row>
    <row r="39" spans="1:5" x14ac:dyDescent="0.25">
      <c r="A39" s="91">
        <f t="shared" si="0"/>
        <v>31</v>
      </c>
      <c r="B39" s="94" t="s">
        <v>636</v>
      </c>
      <c r="C39" s="91" t="s">
        <v>639</v>
      </c>
      <c r="D39" s="93"/>
      <c r="E39" s="93"/>
    </row>
    <row r="40" spans="1:5" x14ac:dyDescent="0.25">
      <c r="D40" s="93"/>
      <c r="E40" s="93"/>
    </row>
    <row r="41" spans="1:5" x14ac:dyDescent="0.25">
      <c r="C41" s="88" t="s">
        <v>824</v>
      </c>
      <c r="D41" s="93"/>
      <c r="E41" s="93"/>
    </row>
    <row r="42" spans="1:5" x14ac:dyDescent="0.25">
      <c r="A42" s="91">
        <f>A39+1</f>
        <v>32</v>
      </c>
      <c r="B42" s="94" t="s">
        <v>23</v>
      </c>
      <c r="C42" s="91" t="s">
        <v>31</v>
      </c>
      <c r="D42" s="93"/>
      <c r="E42" s="93"/>
    </row>
    <row r="43" spans="1:5" x14ac:dyDescent="0.25">
      <c r="A43" s="91">
        <f t="shared" ref="A43:A79" si="1">A42+1</f>
        <v>33</v>
      </c>
      <c r="B43" s="94" t="s">
        <v>676</v>
      </c>
      <c r="C43" s="91" t="s">
        <v>825</v>
      </c>
      <c r="D43" s="93"/>
      <c r="E43" s="93"/>
    </row>
    <row r="44" spans="1:5" x14ac:dyDescent="0.25">
      <c r="A44" s="91">
        <f t="shared" si="1"/>
        <v>34</v>
      </c>
      <c r="B44" s="94" t="s">
        <v>675</v>
      </c>
      <c r="C44" s="91" t="s">
        <v>75</v>
      </c>
      <c r="D44" s="93"/>
      <c r="E44" s="93"/>
    </row>
    <row r="45" spans="1:5" x14ac:dyDescent="0.25">
      <c r="A45" s="91">
        <f t="shared" si="1"/>
        <v>35</v>
      </c>
      <c r="B45" s="94" t="s">
        <v>677</v>
      </c>
      <c r="C45" s="92" t="s">
        <v>83</v>
      </c>
      <c r="D45" s="93"/>
      <c r="E45" s="93"/>
    </row>
    <row r="46" spans="1:5" x14ac:dyDescent="0.25">
      <c r="A46" s="91">
        <f t="shared" si="1"/>
        <v>36</v>
      </c>
      <c r="B46" s="94" t="s">
        <v>678</v>
      </c>
      <c r="C46" s="91" t="s">
        <v>84</v>
      </c>
      <c r="D46" s="93"/>
      <c r="E46" s="93"/>
    </row>
    <row r="47" spans="1:5" x14ac:dyDescent="0.25">
      <c r="A47" s="91">
        <f t="shared" si="1"/>
        <v>37</v>
      </c>
      <c r="B47" s="95" t="s">
        <v>679</v>
      </c>
      <c r="C47" s="91" t="s">
        <v>86</v>
      </c>
      <c r="D47" s="93"/>
      <c r="E47" s="93"/>
    </row>
    <row r="48" spans="1:5" x14ac:dyDescent="0.25">
      <c r="A48" s="91">
        <f t="shared" si="1"/>
        <v>38</v>
      </c>
      <c r="B48" s="94" t="s">
        <v>680</v>
      </c>
      <c r="C48" s="91" t="s">
        <v>90</v>
      </c>
      <c r="D48" s="93"/>
      <c r="E48" s="93"/>
    </row>
    <row r="49" spans="1:5" x14ac:dyDescent="0.25">
      <c r="A49" s="91">
        <f t="shared" si="1"/>
        <v>39</v>
      </c>
      <c r="B49" s="94" t="s">
        <v>95</v>
      </c>
      <c r="C49" s="91" t="s">
        <v>94</v>
      </c>
      <c r="D49" s="93"/>
      <c r="E49" s="93"/>
    </row>
    <row r="50" spans="1:5" x14ac:dyDescent="0.25">
      <c r="A50" s="91">
        <f t="shared" si="1"/>
        <v>40</v>
      </c>
      <c r="B50" s="95" t="s">
        <v>681</v>
      </c>
      <c r="C50" s="91" t="s">
        <v>96</v>
      </c>
      <c r="D50" s="93"/>
      <c r="E50" s="93"/>
    </row>
    <row r="51" spans="1:5" x14ac:dyDescent="0.25">
      <c r="A51" s="91">
        <f t="shared" si="1"/>
        <v>41</v>
      </c>
      <c r="B51" s="94" t="s">
        <v>103</v>
      </c>
      <c r="C51" s="91" t="s">
        <v>826</v>
      </c>
      <c r="D51" s="93"/>
      <c r="E51" s="93"/>
    </row>
    <row r="52" spans="1:5" x14ac:dyDescent="0.25">
      <c r="A52" s="91">
        <f t="shared" si="1"/>
        <v>42</v>
      </c>
      <c r="B52" s="95" t="s">
        <v>683</v>
      </c>
      <c r="C52" s="91" t="s">
        <v>682</v>
      </c>
      <c r="D52" s="93"/>
      <c r="E52" s="93"/>
    </row>
    <row r="53" spans="1:5" x14ac:dyDescent="0.25">
      <c r="A53" s="91">
        <f t="shared" si="1"/>
        <v>43</v>
      </c>
      <c r="B53" s="95" t="s">
        <v>22</v>
      </c>
      <c r="C53" s="91" t="s">
        <v>684</v>
      </c>
      <c r="D53" s="93"/>
      <c r="E53" s="93"/>
    </row>
    <row r="54" spans="1:5" x14ac:dyDescent="0.25">
      <c r="A54" s="91">
        <f t="shared" si="1"/>
        <v>44</v>
      </c>
      <c r="B54" s="95" t="s">
        <v>685</v>
      </c>
      <c r="C54" s="91" t="s">
        <v>237</v>
      </c>
      <c r="D54" s="93"/>
      <c r="E54" s="93"/>
    </row>
    <row r="55" spans="1:5" x14ac:dyDescent="0.25">
      <c r="A55" s="91">
        <f t="shared" si="1"/>
        <v>45</v>
      </c>
      <c r="B55" s="95" t="s">
        <v>685</v>
      </c>
      <c r="C55" s="91" t="s">
        <v>236</v>
      </c>
      <c r="D55" s="93"/>
      <c r="E55" s="93"/>
    </row>
    <row r="56" spans="1:5" x14ac:dyDescent="0.25">
      <c r="A56" s="91">
        <f t="shared" si="1"/>
        <v>46</v>
      </c>
      <c r="B56" s="94" t="s">
        <v>686</v>
      </c>
      <c r="C56" s="91" t="s">
        <v>205</v>
      </c>
      <c r="D56" s="93"/>
      <c r="E56" s="93"/>
    </row>
    <row r="57" spans="1:5" x14ac:dyDescent="0.25">
      <c r="A57" s="91">
        <f t="shared" si="1"/>
        <v>47</v>
      </c>
      <c r="B57" s="94" t="s">
        <v>686</v>
      </c>
      <c r="C57" s="91" t="s">
        <v>212</v>
      </c>
      <c r="D57" s="93"/>
      <c r="E57" s="93"/>
    </row>
    <row r="58" spans="1:5" x14ac:dyDescent="0.25">
      <c r="A58" s="91">
        <f t="shared" si="1"/>
        <v>48</v>
      </c>
      <c r="B58" s="95" t="s">
        <v>688</v>
      </c>
      <c r="C58" s="91" t="s">
        <v>687</v>
      </c>
      <c r="D58" s="93"/>
      <c r="E58" s="93"/>
    </row>
    <row r="59" spans="1:5" x14ac:dyDescent="0.25">
      <c r="A59" s="91">
        <f t="shared" si="1"/>
        <v>49</v>
      </c>
      <c r="B59" s="95" t="s">
        <v>690</v>
      </c>
      <c r="C59" s="91" t="s">
        <v>689</v>
      </c>
      <c r="D59" s="93"/>
      <c r="E59" s="93"/>
    </row>
    <row r="60" spans="1:5" x14ac:dyDescent="0.25">
      <c r="A60" s="91">
        <f t="shared" si="1"/>
        <v>50</v>
      </c>
      <c r="B60" s="94" t="s">
        <v>497</v>
      </c>
      <c r="C60" s="91" t="s">
        <v>834</v>
      </c>
      <c r="D60" s="93"/>
      <c r="E60" s="93"/>
    </row>
    <row r="61" spans="1:5" x14ac:dyDescent="0.25">
      <c r="A61" s="91">
        <f t="shared" si="1"/>
        <v>51</v>
      </c>
      <c r="B61" s="95" t="s">
        <v>692</v>
      </c>
      <c r="C61" s="91" t="s">
        <v>691</v>
      </c>
      <c r="D61" s="93"/>
      <c r="E61" s="93"/>
    </row>
    <row r="62" spans="1:5" x14ac:dyDescent="0.25">
      <c r="A62" s="91">
        <f t="shared" si="1"/>
        <v>52</v>
      </c>
      <c r="B62" s="94" t="s">
        <v>694</v>
      </c>
      <c r="C62" s="91" t="s">
        <v>693</v>
      </c>
      <c r="D62" s="93"/>
      <c r="E62" s="93"/>
    </row>
    <row r="63" spans="1:5" x14ac:dyDescent="0.25">
      <c r="A63" s="91">
        <f t="shared" si="1"/>
        <v>53</v>
      </c>
      <c r="B63" s="95" t="s">
        <v>696</v>
      </c>
      <c r="C63" s="91" t="s">
        <v>695</v>
      </c>
      <c r="D63" s="93"/>
      <c r="E63" s="93"/>
    </row>
    <row r="64" spans="1:5" x14ac:dyDescent="0.25">
      <c r="A64" s="91">
        <f t="shared" si="1"/>
        <v>54</v>
      </c>
      <c r="B64" s="94" t="s">
        <v>697</v>
      </c>
      <c r="C64" s="91" t="s">
        <v>838</v>
      </c>
      <c r="D64" s="93"/>
      <c r="E64" s="93"/>
    </row>
    <row r="65" spans="1:5" x14ac:dyDescent="0.25">
      <c r="A65" s="91">
        <f t="shared" si="1"/>
        <v>55</v>
      </c>
      <c r="B65" s="95" t="s">
        <v>698</v>
      </c>
      <c r="C65" s="91" t="s">
        <v>840</v>
      </c>
      <c r="D65" s="93"/>
      <c r="E65" s="93"/>
    </row>
    <row r="66" spans="1:5" x14ac:dyDescent="0.25">
      <c r="A66" s="91">
        <f t="shared" si="1"/>
        <v>56</v>
      </c>
      <c r="B66" s="94" t="s">
        <v>326</v>
      </c>
      <c r="C66" s="91" t="s">
        <v>841</v>
      </c>
      <c r="D66" s="93"/>
      <c r="E66" s="93"/>
    </row>
    <row r="67" spans="1:5" x14ac:dyDescent="0.25">
      <c r="A67" s="91">
        <f t="shared" si="1"/>
        <v>57</v>
      </c>
      <c r="B67" s="94" t="s">
        <v>699</v>
      </c>
      <c r="C67" s="91" t="s">
        <v>843</v>
      </c>
      <c r="D67" s="93"/>
      <c r="E67" s="93"/>
    </row>
    <row r="68" spans="1:5" x14ac:dyDescent="0.25">
      <c r="A68" s="91">
        <f t="shared" si="1"/>
        <v>58</v>
      </c>
      <c r="B68" s="94" t="s">
        <v>700</v>
      </c>
      <c r="C68" s="91" t="s">
        <v>844</v>
      </c>
      <c r="D68" s="93"/>
      <c r="E68" s="93"/>
    </row>
    <row r="69" spans="1:5" x14ac:dyDescent="0.25">
      <c r="A69" s="91">
        <f t="shared" si="1"/>
        <v>59</v>
      </c>
      <c r="B69" s="94" t="s">
        <v>701</v>
      </c>
      <c r="C69" s="91" t="s">
        <v>846</v>
      </c>
      <c r="D69" s="93"/>
      <c r="E69" s="93"/>
    </row>
    <row r="70" spans="1:5" x14ac:dyDescent="0.25">
      <c r="A70" s="91">
        <f t="shared" si="1"/>
        <v>60</v>
      </c>
      <c r="B70" s="94" t="s">
        <v>702</v>
      </c>
      <c r="C70" s="91" t="s">
        <v>847</v>
      </c>
      <c r="D70" s="93"/>
      <c r="E70" s="93"/>
    </row>
    <row r="71" spans="1:5" x14ac:dyDescent="0.25">
      <c r="A71" s="91">
        <f t="shared" si="1"/>
        <v>61</v>
      </c>
      <c r="B71" s="94" t="s">
        <v>703</v>
      </c>
      <c r="C71" s="91" t="s">
        <v>848</v>
      </c>
      <c r="D71" s="93"/>
      <c r="E71" s="93"/>
    </row>
    <row r="72" spans="1:5" x14ac:dyDescent="0.25">
      <c r="A72" s="91">
        <f t="shared" si="1"/>
        <v>62</v>
      </c>
      <c r="B72" s="95" t="s">
        <v>704</v>
      </c>
      <c r="C72" s="91" t="s">
        <v>849</v>
      </c>
      <c r="D72" s="93"/>
      <c r="E72" s="93"/>
    </row>
    <row r="73" spans="1:5" x14ac:dyDescent="0.25">
      <c r="A73" s="91">
        <f t="shared" si="1"/>
        <v>63</v>
      </c>
      <c r="B73" s="94" t="s">
        <v>365</v>
      </c>
      <c r="C73" s="91" t="s">
        <v>850</v>
      </c>
      <c r="D73" s="93"/>
      <c r="E73" s="93"/>
    </row>
    <row r="74" spans="1:5" x14ac:dyDescent="0.25">
      <c r="A74" s="91">
        <f t="shared" si="1"/>
        <v>64</v>
      </c>
      <c r="B74" s="94" t="s">
        <v>366</v>
      </c>
      <c r="C74" s="91" t="s">
        <v>852</v>
      </c>
      <c r="D74" s="93"/>
      <c r="E74" s="93"/>
    </row>
    <row r="75" spans="1:5" x14ac:dyDescent="0.25">
      <c r="A75" s="91">
        <f t="shared" si="1"/>
        <v>65</v>
      </c>
      <c r="B75" s="95" t="s">
        <v>705</v>
      </c>
      <c r="C75" s="91" t="s">
        <v>854</v>
      </c>
      <c r="D75" s="93"/>
      <c r="E75" s="93"/>
    </row>
    <row r="76" spans="1:5" x14ac:dyDescent="0.25">
      <c r="A76" s="91">
        <f t="shared" si="1"/>
        <v>66</v>
      </c>
      <c r="B76" s="94" t="s">
        <v>706</v>
      </c>
      <c r="C76" s="91" t="s">
        <v>856</v>
      </c>
      <c r="D76" s="93"/>
      <c r="E76" s="93"/>
    </row>
    <row r="77" spans="1:5" x14ac:dyDescent="0.25">
      <c r="A77" s="91">
        <f t="shared" si="1"/>
        <v>67</v>
      </c>
      <c r="B77" s="94" t="s">
        <v>707</v>
      </c>
      <c r="C77" s="91" t="s">
        <v>390</v>
      </c>
    </row>
    <row r="78" spans="1:5" x14ac:dyDescent="0.25">
      <c r="A78" s="91">
        <f t="shared" si="1"/>
        <v>68</v>
      </c>
      <c r="B78" s="94" t="s">
        <v>708</v>
      </c>
      <c r="C78" s="91" t="s">
        <v>835</v>
      </c>
    </row>
    <row r="79" spans="1:5" x14ac:dyDescent="0.25">
      <c r="A79" s="91">
        <f t="shared" si="1"/>
        <v>69</v>
      </c>
      <c r="B79" s="94" t="s">
        <v>709</v>
      </c>
      <c r="C79" s="91" t="s">
        <v>411</v>
      </c>
    </row>
    <row r="81" spans="1:3" x14ac:dyDescent="0.25">
      <c r="C81" s="88" t="s">
        <v>710</v>
      </c>
    </row>
    <row r="82" spans="1:3" x14ac:dyDescent="0.25">
      <c r="A82" s="91">
        <f>A79+1</f>
        <v>70</v>
      </c>
      <c r="B82" s="94" t="s">
        <v>711</v>
      </c>
      <c r="C82" s="91" t="s">
        <v>712</v>
      </c>
    </row>
    <row r="83" spans="1:3" x14ac:dyDescent="0.25">
      <c r="A83" s="91">
        <f t="shared" ref="A83:A97" si="2">A82+1</f>
        <v>71</v>
      </c>
      <c r="B83" s="94" t="s">
        <v>711</v>
      </c>
      <c r="C83" s="91" t="s">
        <v>723</v>
      </c>
    </row>
    <row r="84" spans="1:3" x14ac:dyDescent="0.25">
      <c r="A84" s="91">
        <f t="shared" si="2"/>
        <v>72</v>
      </c>
      <c r="B84" s="94" t="s">
        <v>711</v>
      </c>
      <c r="C84" s="91" t="s">
        <v>725</v>
      </c>
    </row>
    <row r="85" spans="1:3" x14ac:dyDescent="0.25">
      <c r="A85" s="91">
        <f t="shared" si="2"/>
        <v>73</v>
      </c>
      <c r="B85" s="94" t="s">
        <v>711</v>
      </c>
      <c r="C85" s="91" t="s">
        <v>729</v>
      </c>
    </row>
    <row r="86" spans="1:3" x14ac:dyDescent="0.25">
      <c r="A86" s="91">
        <f t="shared" si="2"/>
        <v>74</v>
      </c>
      <c r="B86" s="94" t="s">
        <v>751</v>
      </c>
      <c r="C86" s="91" t="s">
        <v>737</v>
      </c>
    </row>
    <row r="87" spans="1:3" x14ac:dyDescent="0.25">
      <c r="A87" s="91">
        <f t="shared" si="2"/>
        <v>75</v>
      </c>
      <c r="B87" s="94" t="s">
        <v>751</v>
      </c>
      <c r="C87" s="91" t="s">
        <v>743</v>
      </c>
    </row>
    <row r="88" spans="1:3" x14ac:dyDescent="0.25">
      <c r="A88" s="91">
        <f t="shared" si="2"/>
        <v>76</v>
      </c>
      <c r="B88" s="94" t="s">
        <v>751</v>
      </c>
      <c r="C88" s="91" t="s">
        <v>744</v>
      </c>
    </row>
    <row r="89" spans="1:3" x14ac:dyDescent="0.25">
      <c r="A89" s="91">
        <f t="shared" si="2"/>
        <v>77</v>
      </c>
      <c r="B89" s="94" t="s">
        <v>751</v>
      </c>
      <c r="C89" s="91" t="s">
        <v>745</v>
      </c>
    </row>
    <row r="90" spans="1:3" x14ac:dyDescent="0.25">
      <c r="A90" s="91">
        <f t="shared" si="2"/>
        <v>78</v>
      </c>
      <c r="B90" s="94" t="s">
        <v>751</v>
      </c>
      <c r="C90" s="91" t="s">
        <v>746</v>
      </c>
    </row>
    <row r="91" spans="1:3" x14ac:dyDescent="0.25">
      <c r="A91" s="91">
        <f t="shared" si="2"/>
        <v>79</v>
      </c>
      <c r="B91" s="94" t="s">
        <v>751</v>
      </c>
      <c r="C91" s="91" t="s">
        <v>747</v>
      </c>
    </row>
    <row r="92" spans="1:3" x14ac:dyDescent="0.25">
      <c r="A92" s="91">
        <f t="shared" si="2"/>
        <v>80</v>
      </c>
      <c r="B92" s="94" t="s">
        <v>751</v>
      </c>
      <c r="C92" s="91" t="s">
        <v>748</v>
      </c>
    </row>
    <row r="93" spans="1:3" x14ac:dyDescent="0.25">
      <c r="A93" s="91">
        <f t="shared" si="2"/>
        <v>81</v>
      </c>
      <c r="B93" s="94" t="s">
        <v>751</v>
      </c>
      <c r="C93" s="91" t="s">
        <v>749</v>
      </c>
    </row>
    <row r="94" spans="1:3" x14ac:dyDescent="0.25">
      <c r="A94" s="91">
        <f t="shared" si="2"/>
        <v>82</v>
      </c>
      <c r="B94" s="94" t="s">
        <v>751</v>
      </c>
      <c r="C94" s="91" t="s">
        <v>750</v>
      </c>
    </row>
    <row r="95" spans="1:3" x14ac:dyDescent="0.25">
      <c r="A95" s="91">
        <f t="shared" si="2"/>
        <v>83</v>
      </c>
      <c r="B95" s="94" t="s">
        <v>753</v>
      </c>
      <c r="C95" s="91" t="s">
        <v>752</v>
      </c>
    </row>
    <row r="96" spans="1:3" x14ac:dyDescent="0.25">
      <c r="A96" s="91">
        <f t="shared" si="2"/>
        <v>84</v>
      </c>
      <c r="B96" s="94" t="s">
        <v>766</v>
      </c>
      <c r="C96" s="91" t="s">
        <v>762</v>
      </c>
    </row>
    <row r="97" spans="1:3" x14ac:dyDescent="0.25">
      <c r="A97" s="91">
        <f t="shared" si="2"/>
        <v>85</v>
      </c>
      <c r="B97" s="94" t="s">
        <v>768</v>
      </c>
      <c r="C97" s="91" t="s">
        <v>767</v>
      </c>
    </row>
    <row r="99" spans="1:3" x14ac:dyDescent="0.25">
      <c r="A99" s="91">
        <f>A97+1</f>
        <v>86</v>
      </c>
      <c r="B99" s="197" t="s">
        <v>984</v>
      </c>
      <c r="C99" s="88" t="s">
        <v>910</v>
      </c>
    </row>
  </sheetData>
  <customSheetViews>
    <customSheetView guid="{9CE83D47-1940-43F4-9510-4E48915AF617}" topLeftCell="A22">
      <selection activeCell="B27" sqref="B27"/>
      <pageMargins left="0.7" right="0.7" top="0.75" bottom="0.75" header="0.3" footer="0.3"/>
      <pageSetup paperSize="9" orientation="portrait" r:id="rId1"/>
    </customSheetView>
  </customSheetViews>
  <mergeCells count="2">
    <mergeCell ref="A2:E2"/>
    <mergeCell ref="A3:E4"/>
  </mergeCells>
  <hyperlinks>
    <hyperlink ref="B9" location="'T1'!A1" display="T1"/>
    <hyperlink ref="B10" location="'T2'!B2" display="T2"/>
    <hyperlink ref="B11" location="'T2'!B8" display="'T2'!B8"/>
    <hyperlink ref="B13" location="'T3'!B2" display="'T3'!B2"/>
    <hyperlink ref="B14" location="'T3'!B11" display="T3"/>
    <hyperlink ref="B15" location="'T4'!B2" display="T4"/>
    <hyperlink ref="B16" location="'T4'!B16" display="T4"/>
    <hyperlink ref="B17" location="'T4'!B28" display="T4"/>
    <hyperlink ref="B18" location="'T5'!B2" display="T5"/>
    <hyperlink ref="B19" location="'T6'!B2" display="T6"/>
    <hyperlink ref="B20" location="'T6'!B81" display="T6"/>
    <hyperlink ref="B21" location="'T6'!B93" display="T6"/>
    <hyperlink ref="B22" location="'T6'!B105" display="T6"/>
    <hyperlink ref="B23" location="'T7'!B2" display="T7"/>
    <hyperlink ref="B24" location="'T7'!B15" display="T7"/>
    <hyperlink ref="B25" location="'T8'!B2" display="T8"/>
    <hyperlink ref="B26" location="'T8'!B15" display="T8"/>
    <hyperlink ref="B27" location="'T9'!B2" display="T9"/>
    <hyperlink ref="B28" location="'T9'!B20" display="T9"/>
    <hyperlink ref="B29" location="'T10'!B2" display="T10"/>
    <hyperlink ref="B30" location="'T11'!B2" display="T11"/>
    <hyperlink ref="B31" location="'T12'!B2" display="T12"/>
    <hyperlink ref="B32" location="'T12'!B13" display="T12"/>
    <hyperlink ref="B33" location="'T12'!B27" display="T12"/>
    <hyperlink ref="B34" location="'T12'!B44" display="T12"/>
    <hyperlink ref="B35" location="'T12'!B56" display="T12"/>
    <hyperlink ref="B36" location="'T13'!B2" display="T13"/>
    <hyperlink ref="B37" location="'T14'!B2" display="T14"/>
    <hyperlink ref="B38" location="'T14'!B19" display="T14"/>
    <hyperlink ref="B39" location="'T14'!B27" display="T14"/>
    <hyperlink ref="B12" location="'T2'!B21" display="T2"/>
    <hyperlink ref="B42" location="'Energy Sales'!B2" display="Energy Sales"/>
    <hyperlink ref="B44" location="CAGR!B2" display="CAGR"/>
    <hyperlink ref="B43" location="'Energy Balance'!B2" display="Energy Balance"/>
    <hyperlink ref="B45" location="Consumers!B2" display="Consumers"/>
    <hyperlink ref="B46" location="'Connected Load'!B2" display="Connected Load"/>
    <hyperlink ref="B47" location="'Projected Sales FY''15-16'!B2" display="Projected Sales FY 15-16"/>
    <hyperlink ref="B48" location="'Projected Consumers'!B2" display="Projected Consumers"/>
    <hyperlink ref="B49" location="'Power Factor'!B2" display="Power Factor"/>
    <hyperlink ref="B50" location="'Estd Revenue FY''15-16'!B2" display="'Estd Revenue FY''15-16'"/>
    <hyperlink ref="B51" location="'AT&amp;C Loss'!B2" display="AT&amp;C Loss"/>
    <hyperlink ref="B52" location="'Energy Requirement'!B2" display="'Energy Requirement'"/>
    <hyperlink ref="B53" location="'Energy Requirement'!B10" display="Energy Requirement"/>
    <hyperlink ref="B54" location="'Power Purchase Cost 2015-16'!B2" display="'Power Purchase Cost 2015-16'"/>
    <hyperlink ref="B56" location="RPO!B2" display="RPO"/>
    <hyperlink ref="B57" location="RPO!B15" display="RPO"/>
    <hyperlink ref="B55" location="'Power Purchase Cost 2015-16'!B81" display="Power Purchase Cost 2015-16'"/>
    <hyperlink ref="B58" location="'Transmission Loss'!B2" display="'Transmission Loss'"/>
    <hyperlink ref="B59" location="'Surplus Power'!B2" display="Surplus Power'"/>
    <hyperlink ref="B60" location="Rebate!B2" display="Rebate"/>
    <hyperlink ref="B61" location="'Total PPC'!B2" display="'Total PPC'"/>
    <hyperlink ref="B62" location="PPAC!B2" display="PPAC"/>
    <hyperlink ref="B63" location="'O&amp;M'!B2" display="'O&amp;M'"/>
    <hyperlink ref="B64" location="Capex!B2" display="Capex"/>
    <hyperlink ref="B65" location="'Consumer contri'!B2" display="'Consumer contri'"/>
    <hyperlink ref="B66" location="Grant!B2" display="Grant"/>
    <hyperlink ref="B67" location="Dep!B2" display="Dep"/>
    <hyperlink ref="B68" location="AAD!B2" display="AAD"/>
    <hyperlink ref="B69" location="MoF!B2" display="MoF"/>
    <hyperlink ref="B70" location="WC!B2" display="WC"/>
    <hyperlink ref="B71" location="RRB!B2" display="RRB"/>
    <hyperlink ref="B72" location="'E&amp;D'!B2" display="'E&amp;D'"/>
    <hyperlink ref="B73" location="WACC!B2" display="WACC"/>
    <hyperlink ref="B74" location="RoCE!B2" display="RoCE"/>
    <hyperlink ref="B75" location="'Income Tax'!B2" display="'Income Tax'"/>
    <hyperlink ref="B76" location="NTI!B2" display="NTI"/>
    <hyperlink ref="B77" location="CCR!B2" display="CCR"/>
    <hyperlink ref="B78" location="ARR!B2" display="ARR"/>
    <hyperlink ref="B79" location="WR!B2" display="WR"/>
    <hyperlink ref="B82" location="'D1'!B2" display="D1"/>
    <hyperlink ref="B83" location="'D1'!B16" display="D1"/>
    <hyperlink ref="B84" location="'D1'!B59" display="D1"/>
    <hyperlink ref="B85" location="'D1'!B67" display="D1"/>
    <hyperlink ref="B86" location="'D2'!B2" display="D2"/>
    <hyperlink ref="B87" location="'D2'!B12" display="D2"/>
    <hyperlink ref="B88" location="'D2'!B22" display="D2"/>
    <hyperlink ref="B89" location="'D2'!B32" display="D2"/>
    <hyperlink ref="B90" location="'D2'!B42" display="D2"/>
    <hyperlink ref="B91" location="'D2'!B52" display="D2"/>
    <hyperlink ref="B92" location="'D2'!B62" display="D2"/>
    <hyperlink ref="B93" location="'D2'!B72" display="D2"/>
    <hyperlink ref="B94" location="'D2'!B82" display="D2"/>
    <hyperlink ref="B95" location="'D3'!B2" display="D3"/>
    <hyperlink ref="B96" location="'D4'!B2" display="D4"/>
    <hyperlink ref="B97" location="'D5'!B2" display="D5"/>
    <hyperlink ref="B99" location="PN!A1" display="PN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4"/>
  <sheetViews>
    <sheetView topLeftCell="B7" zoomScale="98" zoomScaleNormal="98" workbookViewId="0">
      <selection activeCell="E19" sqref="E19"/>
    </sheetView>
  </sheetViews>
  <sheetFormatPr defaultRowHeight="15" x14ac:dyDescent="0.25"/>
  <cols>
    <col min="1" max="2" width="9.140625" style="2"/>
    <col min="3" max="3" width="35.7109375" style="2" customWidth="1"/>
    <col min="4" max="4" width="19.85546875" style="2" customWidth="1"/>
    <col min="5" max="5" width="23.28515625" style="2" customWidth="1"/>
    <col min="6" max="6" width="21.42578125" style="2" customWidth="1"/>
    <col min="7" max="7" width="16.5703125" style="2" customWidth="1"/>
    <col min="8" max="9" width="16.5703125" style="19" customWidth="1"/>
    <col min="10" max="10" width="24.28515625" style="2" customWidth="1"/>
    <col min="11" max="11" width="11.5703125" style="2" bestFit="1" customWidth="1"/>
    <col min="12" max="12" width="9.140625" style="2"/>
    <col min="13" max="13" width="9.5703125" style="2" bestFit="1" customWidth="1"/>
    <col min="14" max="16384" width="9.140625" style="2"/>
  </cols>
  <sheetData>
    <row r="2" spans="1:14" x14ac:dyDescent="0.25">
      <c r="B2" s="239" t="s">
        <v>691</v>
      </c>
      <c r="C2" s="239"/>
      <c r="D2" s="239"/>
      <c r="E2" s="239"/>
      <c r="F2" s="239"/>
      <c r="G2" s="239"/>
      <c r="H2" s="176"/>
      <c r="I2" s="176"/>
      <c r="J2" s="98"/>
      <c r="K2" s="98" t="s">
        <v>830</v>
      </c>
      <c r="L2" s="98"/>
      <c r="M2" s="98"/>
    </row>
    <row r="3" spans="1:14" x14ac:dyDescent="0.25">
      <c r="J3" s="98"/>
      <c r="K3" s="98"/>
      <c r="L3" s="98"/>
      <c r="M3" s="98"/>
    </row>
    <row r="4" spans="1:14" ht="30" x14ac:dyDescent="0.25">
      <c r="B4" s="10" t="s">
        <v>100</v>
      </c>
      <c r="C4" s="10" t="s">
        <v>194</v>
      </c>
      <c r="D4" s="10" t="s">
        <v>238</v>
      </c>
      <c r="E4" s="10" t="s">
        <v>239</v>
      </c>
      <c r="F4" s="10" t="s">
        <v>240</v>
      </c>
      <c r="G4" s="164" t="s">
        <v>9</v>
      </c>
      <c r="H4" s="176"/>
      <c r="I4" s="176"/>
      <c r="J4" s="98"/>
      <c r="K4" s="98" t="s">
        <v>14</v>
      </c>
      <c r="L4" s="98" t="s">
        <v>943</v>
      </c>
      <c r="M4" s="98"/>
    </row>
    <row r="5" spans="1:14" x14ac:dyDescent="0.25"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64">
        <v>6</v>
      </c>
      <c r="H5" s="176"/>
      <c r="I5" s="176"/>
      <c r="J5" s="98" t="s">
        <v>934</v>
      </c>
      <c r="K5" s="98"/>
      <c r="L5" s="98"/>
      <c r="M5" s="98"/>
    </row>
    <row r="6" spans="1:14" ht="45" x14ac:dyDescent="0.25">
      <c r="B6" s="5" t="s">
        <v>10</v>
      </c>
      <c r="C6" s="5" t="s">
        <v>862</v>
      </c>
      <c r="D6" s="5">
        <f>'Power Purchase Cost 2015-16'!G71+'Power Purchase Cost 2015-16'!G72</f>
        <v>1263.73</v>
      </c>
      <c r="E6" s="36">
        <f>'Power Purchase Cost 2015-16'!H71</f>
        <v>650.02950398079111</v>
      </c>
      <c r="F6" s="36">
        <f>E6*10/D6</f>
        <v>5.1437372221977089</v>
      </c>
      <c r="G6" s="36"/>
      <c r="H6" s="177"/>
      <c r="I6" s="177"/>
      <c r="J6" s="98" t="s">
        <v>862</v>
      </c>
      <c r="K6" s="98">
        <f>'Power Purchase Cost 2015-16'!D71+'Power Purchase Cost 2015-16'!D72</f>
        <v>1263.73</v>
      </c>
      <c r="L6" s="36">
        <f>'Power Purchase Cost 2015-16'!E71</f>
        <v>650.02950398079111</v>
      </c>
      <c r="M6" s="36">
        <f>L6*10/K6</f>
        <v>5.1437372221977089</v>
      </c>
      <c r="N6" s="62"/>
    </row>
    <row r="7" spans="1:14" x14ac:dyDescent="0.25">
      <c r="B7" s="5" t="s">
        <v>21</v>
      </c>
      <c r="C7" s="5" t="s">
        <v>242</v>
      </c>
      <c r="D7" s="36">
        <f>'Transmission Loss'!E7</f>
        <v>22.340304</v>
      </c>
      <c r="E7" s="36">
        <f>'Transmission Loss'!E12</f>
        <v>26.092500000000001</v>
      </c>
      <c r="F7" s="36"/>
      <c r="G7" s="98"/>
      <c r="J7" s="98"/>
      <c r="K7" s="98"/>
      <c r="L7" s="98"/>
      <c r="M7" s="98"/>
    </row>
    <row r="8" spans="1:14" ht="30" x14ac:dyDescent="0.25">
      <c r="B8" s="5" t="s">
        <v>30</v>
      </c>
      <c r="C8" s="5" t="s">
        <v>243</v>
      </c>
      <c r="D8" s="36">
        <f>D6-D7</f>
        <v>1241.389696</v>
      </c>
      <c r="E8" s="5"/>
      <c r="F8" s="5"/>
      <c r="G8" s="98"/>
      <c r="J8" s="98" t="s">
        <v>243</v>
      </c>
      <c r="K8" s="36">
        <f>K6-K14</f>
        <v>1241.389696</v>
      </c>
      <c r="L8" s="36"/>
      <c r="M8" s="36"/>
    </row>
    <row r="9" spans="1:14" ht="30" x14ac:dyDescent="0.25">
      <c r="B9" s="5" t="s">
        <v>50</v>
      </c>
      <c r="C9" s="5" t="s">
        <v>863</v>
      </c>
      <c r="D9" s="36">
        <f>'Power Purchase Cost 2015-16'!D81-('Power Purchase Cost 2015-16'!D71+'Power Purchase Cost 2015-16'!D72)</f>
        <v>698.36200000000008</v>
      </c>
      <c r="E9" s="36">
        <f>'Power Purchase Cost 2015-16'!H81-'Total PPC'!E6</f>
        <v>302.1963535948214</v>
      </c>
      <c r="F9" s="36">
        <f>E9*10/D9</f>
        <v>4.327216452138309</v>
      </c>
      <c r="G9" s="98" t="s">
        <v>864</v>
      </c>
      <c r="H9" s="177"/>
      <c r="J9" s="98" t="s">
        <v>863</v>
      </c>
      <c r="K9" s="36">
        <f>'Power Purchase Cost 2015-16'!D81-'Total PPC'!K6</f>
        <v>698.36200000000008</v>
      </c>
      <c r="L9" s="36">
        <f>'Power Purchase Cost 2015-16'!E81-'Total PPC'!L6</f>
        <v>301.95317359482135</v>
      </c>
      <c r="M9" s="36">
        <f>L9*10/K9</f>
        <v>4.3237343039114569</v>
      </c>
    </row>
    <row r="10" spans="1:14" ht="30" x14ac:dyDescent="0.25">
      <c r="B10" s="5" t="s">
        <v>52</v>
      </c>
      <c r="C10" s="5" t="s">
        <v>244</v>
      </c>
      <c r="D10" s="36">
        <f>'Transmission Loss'!E8</f>
        <v>14.146695316648083</v>
      </c>
      <c r="E10" s="36">
        <f>'Transmission Loss'!E13</f>
        <v>63.346499999999999</v>
      </c>
      <c r="F10" s="36"/>
      <c r="G10" s="98"/>
      <c r="J10" s="98" t="s">
        <v>970</v>
      </c>
      <c r="K10" s="98">
        <f>'Power Purchase Cost 2015-16'!E97</f>
        <v>10.584999999999999</v>
      </c>
      <c r="L10" s="36">
        <f>'Power Purchase Cost 2015-16'!$G$97</f>
        <v>9.8702949999999987</v>
      </c>
      <c r="M10" s="36"/>
    </row>
    <row r="11" spans="1:14" ht="30" x14ac:dyDescent="0.25">
      <c r="A11" s="62"/>
      <c r="B11" s="5" t="s">
        <v>54</v>
      </c>
      <c r="C11" s="5" t="s">
        <v>245</v>
      </c>
      <c r="D11" s="36">
        <f>D8+D9-D10</f>
        <v>1925.605000683352</v>
      </c>
      <c r="E11" s="5"/>
      <c r="F11" s="5"/>
      <c r="G11" s="98"/>
      <c r="J11" s="98" t="s">
        <v>245</v>
      </c>
      <c r="K11" s="36">
        <f>K9+K8-K15+K10</f>
        <v>1936.5848581731693</v>
      </c>
      <c r="L11" s="98"/>
      <c r="M11" s="98"/>
    </row>
    <row r="12" spans="1:14" x14ac:dyDescent="0.25">
      <c r="B12" s="5" t="s">
        <v>58</v>
      </c>
      <c r="C12" s="5" t="s">
        <v>246</v>
      </c>
      <c r="D12" s="36">
        <f>'Projected Sales FY''15-16'!F43</f>
        <v>1375.1872263128855</v>
      </c>
      <c r="E12" s="36"/>
      <c r="F12" s="36"/>
      <c r="G12" s="98"/>
      <c r="J12" s="98"/>
      <c r="K12" s="98"/>
      <c r="L12" s="98"/>
      <c r="M12" s="98"/>
    </row>
    <row r="13" spans="1:14" x14ac:dyDescent="0.25">
      <c r="B13" s="5" t="s">
        <v>61</v>
      </c>
      <c r="C13" s="5" t="s">
        <v>24</v>
      </c>
      <c r="D13" s="35">
        <f>'AT&amp;C Loss'!D5</f>
        <v>8.3088783989555243E-2</v>
      </c>
      <c r="E13" s="5"/>
      <c r="F13" s="5"/>
      <c r="G13" s="98"/>
      <c r="J13" s="15" t="s">
        <v>926</v>
      </c>
      <c r="K13" s="15"/>
      <c r="L13" s="36">
        <f>'Power Purchase Cost 2015-16'!E81</f>
        <v>951.98267757561246</v>
      </c>
      <c r="M13" s="98"/>
    </row>
    <row r="14" spans="1:14" x14ac:dyDescent="0.25">
      <c r="B14" s="5" t="s">
        <v>63</v>
      </c>
      <c r="C14" s="5" t="s">
        <v>247</v>
      </c>
      <c r="D14" s="36">
        <f>D12/(100%-D13)</f>
        <v>1499.8041274884135</v>
      </c>
      <c r="E14" s="5"/>
      <c r="F14" s="5"/>
      <c r="G14" s="98"/>
      <c r="J14" s="98" t="s">
        <v>242</v>
      </c>
      <c r="K14" s="36">
        <f>'Transmission Loss'!D7</f>
        <v>22.340304</v>
      </c>
      <c r="L14" s="36">
        <f>'Transmission Loss'!D12</f>
        <v>24.85</v>
      </c>
      <c r="M14" s="36"/>
    </row>
    <row r="15" spans="1:14" ht="45" x14ac:dyDescent="0.25">
      <c r="B15" s="5" t="s">
        <v>65</v>
      </c>
      <c r="C15" s="5" t="s">
        <v>248</v>
      </c>
      <c r="D15" s="36">
        <f>'Energy Balance'!G27</f>
        <v>426.11587319493856</v>
      </c>
      <c r="E15" s="36">
        <f>'Surplus Power'!I11</f>
        <v>178.96866674187419</v>
      </c>
      <c r="F15" s="36">
        <f>E15*10/D15</f>
        <v>4.1999999999999993</v>
      </c>
      <c r="G15" s="98"/>
      <c r="J15" s="98" t="s">
        <v>244</v>
      </c>
      <c r="K15" s="36">
        <f>'Transmission Loss'!D8</f>
        <v>13.751837826830664</v>
      </c>
      <c r="L15" s="36">
        <f>'Transmission Loss'!D13</f>
        <v>60.33</v>
      </c>
      <c r="M15" s="36"/>
    </row>
    <row r="16" spans="1:14" x14ac:dyDescent="0.25">
      <c r="B16" s="5" t="s">
        <v>67</v>
      </c>
      <c r="C16" s="5" t="s">
        <v>249</v>
      </c>
      <c r="D16" s="5"/>
      <c r="E16" s="65">
        <f>RPO!E27</f>
        <v>12.756811308832573</v>
      </c>
      <c r="F16" s="5"/>
      <c r="G16" s="98"/>
      <c r="J16" s="15" t="s">
        <v>925</v>
      </c>
      <c r="K16" s="15"/>
      <c r="L16" s="36">
        <f>SUM(L13:L15)</f>
        <v>1037.1626775756124</v>
      </c>
      <c r="M16" s="98"/>
    </row>
    <row r="17" spans="2:13" x14ac:dyDescent="0.25">
      <c r="B17" s="5" t="s">
        <v>69</v>
      </c>
      <c r="C17" s="5" t="s">
        <v>250</v>
      </c>
      <c r="D17" s="5"/>
      <c r="E17" s="36">
        <f>Rebate!D8*Rebate!D7</f>
        <v>19.433180766849233</v>
      </c>
      <c r="F17" s="5"/>
      <c r="G17" s="98"/>
      <c r="J17" s="98" t="s">
        <v>249</v>
      </c>
      <c r="K17" s="98"/>
      <c r="L17" s="36">
        <f>RPO!F27</f>
        <v>9.4151006249999991</v>
      </c>
      <c r="M17" s="98"/>
    </row>
    <row r="18" spans="2:13" x14ac:dyDescent="0.25">
      <c r="B18" s="5" t="s">
        <v>71</v>
      </c>
      <c r="C18" s="5" t="s">
        <v>251</v>
      </c>
      <c r="D18" s="5"/>
      <c r="E18" s="36">
        <f>Rebate!D13*Rebate!D12</f>
        <v>1.8252857142857142</v>
      </c>
      <c r="F18" s="5"/>
      <c r="G18" s="98"/>
      <c r="J18" s="98" t="s">
        <v>927</v>
      </c>
      <c r="K18" s="36">
        <f>'Surplus Power'!D11</f>
        <v>478.26481949150906</v>
      </c>
      <c r="L18" s="36">
        <f>'Surplus Power'!F11</f>
        <v>191.30592779660361</v>
      </c>
      <c r="M18" s="36">
        <f>L18*10/K18</f>
        <v>3.9999999999999996</v>
      </c>
    </row>
    <row r="19" spans="2:13" ht="60" x14ac:dyDescent="0.25">
      <c r="B19" s="5" t="s">
        <v>241</v>
      </c>
      <c r="C19" s="5" t="s">
        <v>252</v>
      </c>
      <c r="D19" s="36"/>
      <c r="E19" s="65">
        <f>E6+E7+E9+E10+E16-E12-E15</f>
        <v>875.45300214257099</v>
      </c>
      <c r="F19" s="36"/>
      <c r="G19" s="98"/>
      <c r="J19" s="98" t="s">
        <v>252</v>
      </c>
      <c r="K19" s="98"/>
      <c r="L19" s="36">
        <f>L16+L17-L18+L10</f>
        <v>865.14214540400872</v>
      </c>
      <c r="M19" s="98"/>
    </row>
    <row r="20" spans="2:13" x14ac:dyDescent="0.25">
      <c r="J20" s="98" t="s">
        <v>246</v>
      </c>
      <c r="K20" s="36">
        <f>'Energy Sales'!J42</f>
        <v>1337.15</v>
      </c>
      <c r="L20" s="98"/>
      <c r="M20" s="98"/>
    </row>
    <row r="21" spans="2:13" x14ac:dyDescent="0.25">
      <c r="J21" s="98" t="s">
        <v>944</v>
      </c>
      <c r="K21" s="35">
        <f>'Energy Balance'!F19</f>
        <v>8.3088783989555243E-2</v>
      </c>
      <c r="L21" s="98"/>
      <c r="M21" s="98"/>
    </row>
    <row r="22" spans="2:13" x14ac:dyDescent="0.25">
      <c r="J22" s="98" t="s">
        <v>945</v>
      </c>
      <c r="K22" s="36">
        <f>'Energy Balance'!F22</f>
        <v>1458.3200386816604</v>
      </c>
      <c r="L22" s="98"/>
      <c r="M22" s="98"/>
    </row>
    <row r="23" spans="2:13" x14ac:dyDescent="0.25">
      <c r="J23" s="98" t="s">
        <v>946</v>
      </c>
      <c r="K23" s="98"/>
      <c r="L23" s="36">
        <f>Rebate!F7*Rebate!F8</f>
        <v>19.428217909706376</v>
      </c>
      <c r="M23" s="98"/>
    </row>
    <row r="24" spans="2:13" ht="30" x14ac:dyDescent="0.25">
      <c r="J24" s="98" t="s">
        <v>947</v>
      </c>
      <c r="K24" s="98"/>
      <c r="L24" s="36">
        <f>Rebate!F12*Rebate!F13</f>
        <v>1.7383673469387757</v>
      </c>
      <c r="M24" s="98"/>
    </row>
  </sheetData>
  <customSheetViews>
    <customSheetView guid="{9CE83D47-1940-43F4-9510-4E48915AF617}">
      <selection activeCell="C5" sqref="C5"/>
      <pageMargins left="0.7" right="0.7" top="0.75" bottom="0.75" header="0.3" footer="0.3"/>
    </customSheetView>
  </customSheetViews>
  <mergeCells count="1">
    <mergeCell ref="B2:G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43"/>
  <sheetViews>
    <sheetView workbookViewId="0"/>
  </sheetViews>
  <sheetFormatPr defaultRowHeight="15" x14ac:dyDescent="0.25"/>
  <cols>
    <col min="1" max="2" width="9.140625" style="96"/>
    <col min="3" max="3" width="20.85546875" style="96" customWidth="1"/>
    <col min="4" max="4" width="16.5703125" style="96" customWidth="1"/>
    <col min="5" max="5" width="20.85546875" style="96" customWidth="1"/>
    <col min="6" max="6" width="13.5703125" style="96" customWidth="1"/>
    <col min="7" max="16384" width="9.140625" style="96"/>
  </cols>
  <sheetData>
    <row r="2" spans="2:6" x14ac:dyDescent="0.25">
      <c r="B2" s="239" t="s">
        <v>90</v>
      </c>
      <c r="C2" s="239"/>
      <c r="D2" s="239"/>
      <c r="E2" s="239"/>
      <c r="F2" s="239"/>
    </row>
    <row r="4" spans="2:6" ht="30" x14ac:dyDescent="0.25">
      <c r="B4" s="99" t="s">
        <v>5</v>
      </c>
      <c r="C4" s="99" t="s">
        <v>32</v>
      </c>
      <c r="D4" s="99" t="s">
        <v>91</v>
      </c>
      <c r="E4" s="99" t="s">
        <v>92</v>
      </c>
      <c r="F4" s="99" t="s">
        <v>93</v>
      </c>
    </row>
    <row r="5" spans="2:6" x14ac:dyDescent="0.25">
      <c r="B5" s="4"/>
      <c r="C5" s="4"/>
      <c r="D5" s="4"/>
      <c r="E5" s="4"/>
      <c r="F5" s="4"/>
    </row>
    <row r="6" spans="2:6" x14ac:dyDescent="0.25">
      <c r="B6" s="99" t="s">
        <v>10</v>
      </c>
      <c r="C6" s="99" t="s">
        <v>40</v>
      </c>
      <c r="D6" s="99"/>
      <c r="E6" s="4"/>
      <c r="F6" s="78">
        <f>'Projected Sales FY''15-16'!F7</f>
        <v>269.97302439897766</v>
      </c>
    </row>
    <row r="7" spans="2:6" ht="30" x14ac:dyDescent="0.25">
      <c r="B7" s="4" t="s">
        <v>12</v>
      </c>
      <c r="C7" s="4" t="s">
        <v>41</v>
      </c>
      <c r="D7" s="4"/>
      <c r="E7" s="4"/>
      <c r="F7" s="78"/>
    </row>
    <row r="8" spans="2:6" ht="30" x14ac:dyDescent="0.25">
      <c r="B8" s="4" t="s">
        <v>15</v>
      </c>
      <c r="C8" s="4" t="s">
        <v>42</v>
      </c>
      <c r="D8" s="4"/>
      <c r="E8" s="4"/>
      <c r="F8" s="78"/>
    </row>
    <row r="9" spans="2:6" x14ac:dyDescent="0.25">
      <c r="B9" s="4"/>
      <c r="C9" s="4"/>
      <c r="D9" s="4"/>
      <c r="E9" s="4"/>
      <c r="F9" s="78"/>
    </row>
    <row r="10" spans="2:6" x14ac:dyDescent="0.25">
      <c r="B10" s="99" t="s">
        <v>21</v>
      </c>
      <c r="C10" s="99" t="s">
        <v>43</v>
      </c>
      <c r="D10" s="99"/>
      <c r="E10" s="4"/>
      <c r="F10" s="78">
        <f>'Projected Sales FY''15-16'!F11</f>
        <v>1045.7986104600127</v>
      </c>
    </row>
    <row r="11" spans="2:6" ht="30" x14ac:dyDescent="0.25">
      <c r="B11" s="4" t="s">
        <v>12</v>
      </c>
      <c r="C11" s="4" t="s">
        <v>44</v>
      </c>
      <c r="D11" s="4"/>
      <c r="E11" s="4"/>
      <c r="F11" s="78"/>
    </row>
    <row r="12" spans="2:6" ht="30" x14ac:dyDescent="0.25">
      <c r="B12" s="4" t="s">
        <v>15</v>
      </c>
      <c r="C12" s="4" t="s">
        <v>45</v>
      </c>
      <c r="D12" s="4"/>
      <c r="E12" s="4"/>
      <c r="F12" s="78"/>
    </row>
    <row r="13" spans="2:6" x14ac:dyDescent="0.25">
      <c r="B13" s="4"/>
      <c r="C13" s="4"/>
      <c r="D13" s="4"/>
      <c r="E13" s="4"/>
      <c r="F13" s="78"/>
    </row>
    <row r="14" spans="2:6" x14ac:dyDescent="0.25">
      <c r="B14" s="99" t="s">
        <v>30</v>
      </c>
      <c r="C14" s="99" t="s">
        <v>46</v>
      </c>
      <c r="D14" s="99"/>
      <c r="E14" s="4"/>
      <c r="F14" s="78">
        <f>'Projected Sales FY''15-16'!F15</f>
        <v>0.18249139885653859</v>
      </c>
    </row>
    <row r="15" spans="2:6" ht="45" x14ac:dyDescent="0.25">
      <c r="B15" s="4" t="s">
        <v>12</v>
      </c>
      <c r="C15" s="4" t="s">
        <v>47</v>
      </c>
      <c r="D15" s="4"/>
      <c r="E15" s="4"/>
      <c r="F15" s="78"/>
    </row>
    <row r="16" spans="2:6" ht="60" x14ac:dyDescent="0.25">
      <c r="B16" s="4" t="s">
        <v>15</v>
      </c>
      <c r="C16" s="4" t="s">
        <v>48</v>
      </c>
      <c r="D16" s="4"/>
      <c r="E16" s="4"/>
      <c r="F16" s="78"/>
    </row>
    <row r="17" spans="2:6" ht="45" x14ac:dyDescent="0.25">
      <c r="B17" s="4" t="s">
        <v>18</v>
      </c>
      <c r="C17" s="4" t="s">
        <v>49</v>
      </c>
      <c r="D17" s="4"/>
      <c r="E17" s="4"/>
      <c r="F17" s="78"/>
    </row>
    <row r="18" spans="2:6" x14ac:dyDescent="0.25">
      <c r="B18" s="4"/>
      <c r="C18" s="4"/>
      <c r="D18" s="4"/>
      <c r="E18" s="4"/>
      <c r="F18" s="78"/>
    </row>
    <row r="19" spans="2:6" x14ac:dyDescent="0.25">
      <c r="B19" s="4" t="s">
        <v>50</v>
      </c>
      <c r="C19" s="4" t="s">
        <v>51</v>
      </c>
      <c r="D19" s="99"/>
      <c r="E19" s="4"/>
      <c r="F19" s="78"/>
    </row>
    <row r="20" spans="2:6" x14ac:dyDescent="0.25">
      <c r="B20" s="4"/>
      <c r="C20" s="4"/>
      <c r="D20" s="99"/>
      <c r="E20" s="4"/>
      <c r="F20" s="78"/>
    </row>
    <row r="21" spans="2:6" ht="30" x14ac:dyDescent="0.25">
      <c r="B21" s="4" t="s">
        <v>52</v>
      </c>
      <c r="C21" s="4" t="s">
        <v>53</v>
      </c>
      <c r="D21" s="4"/>
      <c r="E21" s="4"/>
      <c r="F21" s="78"/>
    </row>
    <row r="22" spans="2:6" x14ac:dyDescent="0.25">
      <c r="B22" s="4"/>
      <c r="C22" s="4"/>
      <c r="D22" s="4"/>
      <c r="E22" s="4"/>
      <c r="F22" s="78"/>
    </row>
    <row r="23" spans="2:6" x14ac:dyDescent="0.25">
      <c r="B23" s="4" t="s">
        <v>54</v>
      </c>
      <c r="C23" s="4" t="s">
        <v>55</v>
      </c>
      <c r="D23" s="4"/>
      <c r="E23" s="4"/>
      <c r="F23" s="78">
        <f>'Projected Sales FY''15-16'!F24</f>
        <v>8.3033997962834949</v>
      </c>
    </row>
    <row r="24" spans="2:6" x14ac:dyDescent="0.25">
      <c r="B24" s="4" t="s">
        <v>12</v>
      </c>
      <c r="C24" s="4" t="s">
        <v>56</v>
      </c>
      <c r="D24" s="4"/>
      <c r="E24" s="4"/>
      <c r="F24" s="78"/>
    </row>
    <row r="25" spans="2:6" x14ac:dyDescent="0.25">
      <c r="B25" s="4" t="s">
        <v>15</v>
      </c>
      <c r="C25" s="4" t="s">
        <v>57</v>
      </c>
      <c r="D25" s="4"/>
      <c r="E25" s="4"/>
      <c r="F25" s="78"/>
    </row>
    <row r="26" spans="2:6" x14ac:dyDescent="0.25">
      <c r="B26" s="4"/>
      <c r="C26" s="4"/>
      <c r="D26" s="4"/>
      <c r="E26" s="4"/>
      <c r="F26" s="78"/>
    </row>
    <row r="27" spans="2:6" x14ac:dyDescent="0.25">
      <c r="B27" s="4" t="s">
        <v>58</v>
      </c>
      <c r="C27" s="4" t="s">
        <v>74</v>
      </c>
      <c r="D27" s="4"/>
      <c r="E27" s="4"/>
      <c r="F27" s="78"/>
    </row>
    <row r="28" spans="2:6" x14ac:dyDescent="0.25">
      <c r="B28" s="4" t="s">
        <v>12</v>
      </c>
      <c r="C28" s="4" t="s">
        <v>59</v>
      </c>
      <c r="D28" s="4"/>
      <c r="E28" s="4"/>
      <c r="F28" s="78"/>
    </row>
    <row r="29" spans="2:6" ht="30" x14ac:dyDescent="0.25">
      <c r="B29" s="4" t="s">
        <v>15</v>
      </c>
      <c r="C29" s="4" t="s">
        <v>60</v>
      </c>
      <c r="D29" s="4"/>
      <c r="E29" s="4"/>
      <c r="F29" s="78"/>
    </row>
    <row r="30" spans="2:6" x14ac:dyDescent="0.25">
      <c r="B30" s="4"/>
      <c r="C30" s="4"/>
      <c r="D30" s="4"/>
      <c r="E30" s="4"/>
      <c r="F30" s="78"/>
    </row>
    <row r="31" spans="2:6" x14ac:dyDescent="0.25">
      <c r="B31" s="4" t="s">
        <v>61</v>
      </c>
      <c r="C31" s="4" t="s">
        <v>62</v>
      </c>
      <c r="D31" s="4"/>
      <c r="E31" s="4"/>
      <c r="F31" s="78"/>
    </row>
    <row r="32" spans="2:6" x14ac:dyDescent="0.25">
      <c r="B32" s="4"/>
      <c r="C32" s="4"/>
      <c r="D32" s="4"/>
      <c r="E32" s="4"/>
      <c r="F32" s="78"/>
    </row>
    <row r="33" spans="2:6" x14ac:dyDescent="0.25">
      <c r="B33" s="4" t="s">
        <v>63</v>
      </c>
      <c r="C33" s="4" t="s">
        <v>64</v>
      </c>
      <c r="D33" s="4"/>
      <c r="E33" s="4"/>
      <c r="F33" s="78"/>
    </row>
    <row r="34" spans="2:6" x14ac:dyDescent="0.25">
      <c r="B34" s="4"/>
      <c r="C34" s="4"/>
      <c r="D34" s="4"/>
      <c r="E34" s="4"/>
      <c r="F34" s="78"/>
    </row>
    <row r="35" spans="2:6" x14ac:dyDescent="0.25">
      <c r="B35" s="4" t="s">
        <v>65</v>
      </c>
      <c r="C35" s="4" t="s">
        <v>66</v>
      </c>
      <c r="D35" s="4"/>
      <c r="E35" s="4"/>
      <c r="F35" s="78">
        <f>'Projected Sales FY''15-16'!F36</f>
        <v>41.1</v>
      </c>
    </row>
    <row r="36" spans="2:6" x14ac:dyDescent="0.25">
      <c r="B36" s="4"/>
      <c r="C36" s="4"/>
      <c r="D36" s="4"/>
      <c r="E36" s="4"/>
      <c r="F36" s="78"/>
    </row>
    <row r="37" spans="2:6" ht="30" x14ac:dyDescent="0.25">
      <c r="B37" s="4" t="s">
        <v>67</v>
      </c>
      <c r="C37" s="4" t="s">
        <v>68</v>
      </c>
      <c r="D37" s="4"/>
      <c r="E37" s="4"/>
      <c r="F37" s="78"/>
    </row>
    <row r="38" spans="2:6" x14ac:dyDescent="0.25">
      <c r="B38" s="4"/>
      <c r="C38" s="4"/>
      <c r="D38" s="4"/>
      <c r="E38" s="4"/>
      <c r="F38" s="78"/>
    </row>
    <row r="39" spans="2:6" x14ac:dyDescent="0.25">
      <c r="B39" s="4" t="s">
        <v>69</v>
      </c>
      <c r="C39" s="4" t="s">
        <v>70</v>
      </c>
      <c r="D39" s="4"/>
      <c r="E39" s="4"/>
      <c r="F39" s="78"/>
    </row>
    <row r="40" spans="2:6" x14ac:dyDescent="0.25">
      <c r="B40" s="4"/>
      <c r="C40" s="4"/>
      <c r="D40" s="4"/>
      <c r="E40" s="4"/>
      <c r="F40" s="78"/>
    </row>
    <row r="41" spans="2:6" x14ac:dyDescent="0.25">
      <c r="B41" s="4" t="s">
        <v>71</v>
      </c>
      <c r="C41" s="4" t="s">
        <v>72</v>
      </c>
      <c r="D41" s="4"/>
      <c r="E41" s="4"/>
      <c r="F41" s="78">
        <f>'Projected Sales FY''15-16'!F42</f>
        <v>9.8314233939871354</v>
      </c>
    </row>
    <row r="42" spans="2:6" x14ac:dyDescent="0.25">
      <c r="B42" s="4"/>
      <c r="C42" s="99" t="s">
        <v>73</v>
      </c>
      <c r="D42" s="4"/>
      <c r="E42" s="4"/>
      <c r="F42" s="40">
        <f>'Projected Sales FY''15-16'!F43</f>
        <v>1375.1872263128855</v>
      </c>
    </row>
    <row r="43" spans="2:6" x14ac:dyDescent="0.25">
      <c r="F43" s="116"/>
    </row>
  </sheetData>
  <customSheetViews>
    <customSheetView guid="{9CE83D47-1940-43F4-9510-4E48915AF617}" topLeftCell="A22">
      <selection activeCell="C43" sqref="A1:XFD1048576"/>
      <pageMargins left="0.7" right="0.7" top="0.75" bottom="0.75" header="0.3" footer="0.3"/>
    </customSheetView>
  </customSheetViews>
  <mergeCells count="1">
    <mergeCell ref="B2:F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44"/>
  <sheetViews>
    <sheetView workbookViewId="0">
      <selection activeCell="L1" sqref="L1"/>
    </sheetView>
  </sheetViews>
  <sheetFormatPr defaultRowHeight="15" x14ac:dyDescent="0.25"/>
  <cols>
    <col min="1" max="2" width="9.140625" style="96"/>
    <col min="3" max="3" width="25.28515625" style="96" customWidth="1"/>
    <col min="4" max="4" width="16.5703125" style="96" customWidth="1"/>
    <col min="5" max="5" width="20.85546875" style="96" customWidth="1"/>
    <col min="6" max="6" width="13.5703125" style="96" customWidth="1"/>
    <col min="7" max="16384" width="9.140625" style="96"/>
  </cols>
  <sheetData>
    <row r="2" spans="2:6" ht="15" customHeight="1" x14ac:dyDescent="0.25">
      <c r="B2" s="239" t="s">
        <v>94</v>
      </c>
      <c r="C2" s="239"/>
      <c r="D2" s="239"/>
      <c r="E2" s="8"/>
      <c r="F2" s="8"/>
    </row>
    <row r="4" spans="2:6" x14ac:dyDescent="0.25">
      <c r="B4" s="99" t="s">
        <v>5</v>
      </c>
      <c r="C4" s="99" t="s">
        <v>32</v>
      </c>
      <c r="D4" s="99" t="s">
        <v>95</v>
      </c>
      <c r="E4" s="7"/>
      <c r="F4" s="7"/>
    </row>
    <row r="5" spans="2:6" x14ac:dyDescent="0.25">
      <c r="B5" s="4"/>
      <c r="C5" s="4"/>
      <c r="D5" s="4"/>
      <c r="E5" s="115"/>
      <c r="F5" s="115"/>
    </row>
    <row r="6" spans="2:6" x14ac:dyDescent="0.25">
      <c r="B6" s="99" t="s">
        <v>10</v>
      </c>
      <c r="C6" s="99" t="s">
        <v>40</v>
      </c>
      <c r="D6" s="99"/>
      <c r="E6" s="115"/>
      <c r="F6" s="115"/>
    </row>
    <row r="7" spans="2:6" x14ac:dyDescent="0.25">
      <c r="B7" s="4" t="s">
        <v>12</v>
      </c>
      <c r="C7" s="4" t="s">
        <v>41</v>
      </c>
      <c r="D7" s="4"/>
      <c r="E7" s="115"/>
      <c r="F7" s="115"/>
    </row>
    <row r="8" spans="2:6" ht="30" x14ac:dyDescent="0.25">
      <c r="B8" s="4" t="s">
        <v>15</v>
      </c>
      <c r="C8" s="4" t="s">
        <v>42</v>
      </c>
      <c r="D8" s="4"/>
      <c r="E8" s="115"/>
      <c r="F8" s="115"/>
    </row>
    <row r="9" spans="2:6" x14ac:dyDescent="0.25">
      <c r="B9" s="4"/>
      <c r="C9" s="4"/>
      <c r="D9" s="4"/>
      <c r="E9" s="115"/>
      <c r="F9" s="115"/>
    </row>
    <row r="10" spans="2:6" x14ac:dyDescent="0.25">
      <c r="B10" s="99" t="s">
        <v>21</v>
      </c>
      <c r="C10" s="99" t="s">
        <v>43</v>
      </c>
      <c r="D10" s="99"/>
      <c r="E10" s="115"/>
      <c r="F10" s="115"/>
    </row>
    <row r="11" spans="2:6" ht="30" x14ac:dyDescent="0.25">
      <c r="B11" s="4" t="s">
        <v>12</v>
      </c>
      <c r="C11" s="4" t="s">
        <v>44</v>
      </c>
      <c r="D11" s="4">
        <v>0.93</v>
      </c>
      <c r="E11" s="115"/>
      <c r="F11" s="115"/>
    </row>
    <row r="12" spans="2:6" x14ac:dyDescent="0.25">
      <c r="B12" s="4"/>
      <c r="C12" s="4" t="s">
        <v>783</v>
      </c>
      <c r="D12" s="4">
        <v>0.89</v>
      </c>
      <c r="E12" s="115"/>
      <c r="F12" s="115"/>
    </row>
    <row r="13" spans="2:6" x14ac:dyDescent="0.25">
      <c r="B13" s="4"/>
      <c r="C13" s="4" t="s">
        <v>812</v>
      </c>
      <c r="D13" s="4">
        <v>0.93</v>
      </c>
      <c r="E13" s="115"/>
      <c r="F13" s="115"/>
    </row>
    <row r="14" spans="2:6" x14ac:dyDescent="0.25">
      <c r="B14" s="4"/>
      <c r="C14" s="4" t="s">
        <v>810</v>
      </c>
      <c r="D14" s="4">
        <v>0.93</v>
      </c>
      <c r="E14" s="115"/>
      <c r="F14" s="115"/>
    </row>
    <row r="15" spans="2:6" ht="30" x14ac:dyDescent="0.25">
      <c r="B15" s="4" t="s">
        <v>15</v>
      </c>
      <c r="C15" s="4" t="s">
        <v>45</v>
      </c>
      <c r="D15" s="4">
        <v>0.95</v>
      </c>
      <c r="E15" s="115"/>
      <c r="F15" s="115"/>
    </row>
    <row r="16" spans="2:6" x14ac:dyDescent="0.25">
      <c r="B16" s="4"/>
      <c r="C16" s="4"/>
      <c r="D16" s="4"/>
      <c r="E16" s="115"/>
      <c r="F16" s="115"/>
    </row>
    <row r="17" spans="2:6" x14ac:dyDescent="0.25">
      <c r="B17" s="99" t="s">
        <v>30</v>
      </c>
      <c r="C17" s="99" t="s">
        <v>46</v>
      </c>
      <c r="D17" s="99"/>
      <c r="E17" s="115"/>
      <c r="F17" s="115"/>
    </row>
    <row r="18" spans="2:6" x14ac:dyDescent="0.25">
      <c r="B18" s="4" t="s">
        <v>12</v>
      </c>
      <c r="C18" s="4" t="s">
        <v>811</v>
      </c>
      <c r="D18" s="4">
        <v>0.91</v>
      </c>
      <c r="E18" s="115"/>
      <c r="F18" s="115"/>
    </row>
    <row r="19" spans="2:6" x14ac:dyDescent="0.25">
      <c r="B19" s="4" t="s">
        <v>15</v>
      </c>
      <c r="C19" s="4" t="s">
        <v>810</v>
      </c>
      <c r="D19" s="4">
        <v>0.93</v>
      </c>
      <c r="E19" s="115"/>
      <c r="F19" s="115"/>
    </row>
    <row r="20" spans="2:6" x14ac:dyDescent="0.25">
      <c r="B20" s="4"/>
      <c r="C20" s="4"/>
      <c r="D20" s="4"/>
      <c r="E20" s="115"/>
      <c r="F20" s="115"/>
    </row>
    <row r="21" spans="2:6" x14ac:dyDescent="0.25">
      <c r="B21" s="4" t="s">
        <v>50</v>
      </c>
      <c r="C21" s="4" t="s">
        <v>51</v>
      </c>
      <c r="D21" s="99"/>
      <c r="E21" s="115"/>
      <c r="F21" s="115"/>
    </row>
    <row r="22" spans="2:6" x14ac:dyDescent="0.25">
      <c r="B22" s="4"/>
      <c r="C22" s="4"/>
      <c r="D22" s="99"/>
      <c r="E22" s="115"/>
      <c r="F22" s="115"/>
    </row>
    <row r="23" spans="2:6" x14ac:dyDescent="0.25">
      <c r="B23" s="4" t="s">
        <v>52</v>
      </c>
      <c r="C23" s="4" t="s">
        <v>53</v>
      </c>
      <c r="D23" s="4"/>
      <c r="E23" s="115"/>
      <c r="F23" s="115"/>
    </row>
    <row r="24" spans="2:6" x14ac:dyDescent="0.25">
      <c r="B24" s="4"/>
      <c r="C24" s="4"/>
      <c r="D24" s="4"/>
      <c r="E24" s="115"/>
      <c r="F24" s="115"/>
    </row>
    <row r="25" spans="2:6" x14ac:dyDescent="0.25">
      <c r="B25" s="4" t="s">
        <v>54</v>
      </c>
      <c r="C25" s="4" t="s">
        <v>55</v>
      </c>
      <c r="D25" s="4"/>
      <c r="E25" s="115"/>
      <c r="F25" s="115"/>
    </row>
    <row r="26" spans="2:6" x14ac:dyDescent="0.25">
      <c r="B26" s="4" t="s">
        <v>12</v>
      </c>
      <c r="C26" s="4" t="s">
        <v>56</v>
      </c>
      <c r="D26" s="4"/>
      <c r="E26" s="115"/>
      <c r="F26" s="115"/>
    </row>
    <row r="27" spans="2:6" x14ac:dyDescent="0.25">
      <c r="B27" s="4" t="s">
        <v>15</v>
      </c>
      <c r="C27" s="4" t="s">
        <v>57</v>
      </c>
      <c r="D27" s="4"/>
      <c r="E27" s="115"/>
      <c r="F27" s="115"/>
    </row>
    <row r="28" spans="2:6" x14ac:dyDescent="0.25">
      <c r="B28" s="4"/>
      <c r="C28" s="4"/>
      <c r="D28" s="4"/>
      <c r="E28" s="115"/>
      <c r="F28" s="115"/>
    </row>
    <row r="29" spans="2:6" x14ac:dyDescent="0.25">
      <c r="B29" s="4" t="s">
        <v>58</v>
      </c>
      <c r="C29" s="4" t="s">
        <v>74</v>
      </c>
      <c r="D29" s="4"/>
      <c r="E29" s="115"/>
      <c r="F29" s="115"/>
    </row>
    <row r="30" spans="2:6" x14ac:dyDescent="0.25">
      <c r="B30" s="4" t="s">
        <v>12</v>
      </c>
      <c r="C30" s="4" t="s">
        <v>59</v>
      </c>
      <c r="D30" s="4"/>
      <c r="E30" s="115"/>
      <c r="F30" s="115"/>
    </row>
    <row r="31" spans="2:6" x14ac:dyDescent="0.25">
      <c r="B31" s="4" t="s">
        <v>15</v>
      </c>
      <c r="C31" s="4" t="s">
        <v>60</v>
      </c>
      <c r="D31" s="4"/>
      <c r="E31" s="115"/>
      <c r="F31" s="115"/>
    </row>
    <row r="32" spans="2:6" x14ac:dyDescent="0.25">
      <c r="B32" s="4"/>
      <c r="C32" s="4"/>
      <c r="D32" s="4"/>
      <c r="E32" s="115"/>
      <c r="F32" s="115"/>
    </row>
    <row r="33" spans="2:6" x14ac:dyDescent="0.25">
      <c r="B33" s="4" t="s">
        <v>61</v>
      </c>
      <c r="C33" s="4" t="s">
        <v>62</v>
      </c>
      <c r="D33" s="4"/>
      <c r="E33" s="115"/>
      <c r="F33" s="115"/>
    </row>
    <row r="34" spans="2:6" x14ac:dyDescent="0.25">
      <c r="B34" s="4"/>
      <c r="C34" s="4"/>
      <c r="D34" s="4"/>
      <c r="E34" s="115"/>
      <c r="F34" s="115"/>
    </row>
    <row r="35" spans="2:6" x14ac:dyDescent="0.25">
      <c r="B35" s="4" t="s">
        <v>63</v>
      </c>
      <c r="C35" s="4" t="s">
        <v>64</v>
      </c>
      <c r="D35" s="4"/>
      <c r="E35" s="115"/>
      <c r="F35" s="115"/>
    </row>
    <row r="36" spans="2:6" x14ac:dyDescent="0.25">
      <c r="B36" s="4"/>
      <c r="C36" s="4"/>
      <c r="D36" s="4"/>
      <c r="E36" s="115"/>
      <c r="F36" s="115"/>
    </row>
    <row r="37" spans="2:6" x14ac:dyDescent="0.25">
      <c r="B37" s="4" t="s">
        <v>65</v>
      </c>
      <c r="C37" s="4" t="s">
        <v>66</v>
      </c>
      <c r="D37" s="78">
        <v>1</v>
      </c>
      <c r="E37" s="115"/>
      <c r="F37" s="115"/>
    </row>
    <row r="38" spans="2:6" x14ac:dyDescent="0.25">
      <c r="B38" s="4"/>
      <c r="C38" s="4"/>
      <c r="D38" s="4"/>
      <c r="E38" s="115"/>
      <c r="F38" s="115"/>
    </row>
    <row r="39" spans="2:6" ht="30" x14ac:dyDescent="0.25">
      <c r="B39" s="4" t="s">
        <v>67</v>
      </c>
      <c r="C39" s="4" t="s">
        <v>68</v>
      </c>
      <c r="D39" s="4"/>
      <c r="E39" s="115"/>
      <c r="F39" s="115"/>
    </row>
    <row r="40" spans="2:6" x14ac:dyDescent="0.25">
      <c r="B40" s="4"/>
      <c r="C40" s="4"/>
      <c r="D40" s="4"/>
      <c r="E40" s="115"/>
      <c r="F40" s="115"/>
    </row>
    <row r="41" spans="2:6" x14ac:dyDescent="0.25">
      <c r="B41" s="4" t="s">
        <v>69</v>
      </c>
      <c r="C41" s="4" t="s">
        <v>70</v>
      </c>
      <c r="D41" s="4"/>
      <c r="E41" s="115"/>
      <c r="F41" s="115"/>
    </row>
    <row r="42" spans="2:6" x14ac:dyDescent="0.25">
      <c r="B42" s="4"/>
      <c r="C42" s="4"/>
      <c r="D42" s="4"/>
      <c r="E42" s="115"/>
      <c r="F42" s="115"/>
    </row>
    <row r="43" spans="2:6" x14ac:dyDescent="0.25">
      <c r="B43" s="4" t="s">
        <v>71</v>
      </c>
      <c r="C43" s="4" t="s">
        <v>72</v>
      </c>
      <c r="D43" s="4"/>
      <c r="E43" s="115"/>
      <c r="F43" s="115"/>
    </row>
    <row r="44" spans="2:6" x14ac:dyDescent="0.25">
      <c r="B44" s="4"/>
      <c r="C44" s="99" t="s">
        <v>73</v>
      </c>
      <c r="D44" s="4"/>
      <c r="E44" s="115"/>
      <c r="F44" s="115"/>
    </row>
  </sheetData>
  <customSheetViews>
    <customSheetView guid="{9CE83D47-1940-43F4-9510-4E48915AF617}" topLeftCell="A28">
      <selection activeCell="A50" sqref="A1:XFD1048576"/>
      <pageMargins left="0.7" right="0.7" top="0.75" bottom="0.75" header="0.3" footer="0.3"/>
    </customSheetView>
  </customSheetViews>
  <mergeCells count="1">
    <mergeCell ref="B2:D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45"/>
  <sheetViews>
    <sheetView topLeftCell="E1" workbookViewId="0">
      <selection activeCell="I1" sqref="I1"/>
    </sheetView>
  </sheetViews>
  <sheetFormatPr defaultRowHeight="15" x14ac:dyDescent="0.25"/>
  <cols>
    <col min="1" max="2" width="9.140625" style="96"/>
    <col min="3" max="3" width="25.28515625" style="96" customWidth="1"/>
    <col min="4" max="7" width="16.5703125" style="96" customWidth="1"/>
    <col min="8" max="8" width="20.85546875" style="96" customWidth="1"/>
    <col min="9" max="9" width="13.5703125" style="96" customWidth="1"/>
    <col min="10" max="10" width="11.5703125" style="96" bestFit="1" customWidth="1"/>
    <col min="11" max="16384" width="9.140625" style="96"/>
  </cols>
  <sheetData>
    <row r="2" spans="2:9" ht="15" customHeight="1" x14ac:dyDescent="0.25">
      <c r="B2" s="258" t="s">
        <v>96</v>
      </c>
      <c r="C2" s="259"/>
      <c r="D2" s="259"/>
      <c r="E2" s="259"/>
      <c r="F2" s="259"/>
      <c r="G2" s="259"/>
      <c r="H2" s="259"/>
      <c r="I2" s="260"/>
    </row>
    <row r="3" spans="2:9" x14ac:dyDescent="0.25">
      <c r="D3" s="261" t="s">
        <v>830</v>
      </c>
      <c r="E3" s="262"/>
      <c r="F3" s="263"/>
      <c r="G3" s="261" t="s">
        <v>882</v>
      </c>
      <c r="H3" s="262"/>
      <c r="I3" s="263"/>
    </row>
    <row r="4" spans="2:9" ht="30" x14ac:dyDescent="0.25">
      <c r="B4" s="99" t="s">
        <v>5</v>
      </c>
      <c r="C4" s="99" t="s">
        <v>32</v>
      </c>
      <c r="D4" s="99" t="s">
        <v>97</v>
      </c>
      <c r="E4" s="99" t="s">
        <v>98</v>
      </c>
      <c r="F4" s="99" t="s">
        <v>99</v>
      </c>
      <c r="G4" s="99" t="s">
        <v>97</v>
      </c>
      <c r="H4" s="99" t="s">
        <v>98</v>
      </c>
      <c r="I4" s="99" t="s">
        <v>99</v>
      </c>
    </row>
    <row r="5" spans="2:9" x14ac:dyDescent="0.25">
      <c r="B5" s="99">
        <v>1</v>
      </c>
      <c r="C5" s="99">
        <v>2</v>
      </c>
      <c r="D5" s="99">
        <v>3</v>
      </c>
      <c r="E5" s="99">
        <v>4</v>
      </c>
      <c r="F5" s="99">
        <v>5</v>
      </c>
      <c r="G5" s="99">
        <v>6</v>
      </c>
      <c r="H5" s="99">
        <v>7</v>
      </c>
      <c r="I5" s="99">
        <v>8</v>
      </c>
    </row>
    <row r="6" spans="2:9" x14ac:dyDescent="0.25">
      <c r="B6" s="99" t="s">
        <v>10</v>
      </c>
      <c r="C6" s="99" t="s">
        <v>40</v>
      </c>
      <c r="D6" s="40"/>
      <c r="E6" s="78"/>
      <c r="F6" s="78">
        <f>'Projected Sales FY''15-16'!D7*'Projected Sales FY''15-16'!G7/10</f>
        <v>126.04813091169221</v>
      </c>
      <c r="G6" s="4"/>
      <c r="H6" s="4"/>
      <c r="I6" s="78">
        <f>'Projected Sales FY''15-16'!F7*'Projected Sales FY''15-16'!G7/10</f>
        <v>128.20553487574054</v>
      </c>
    </row>
    <row r="7" spans="2:9" x14ac:dyDescent="0.25">
      <c r="B7" s="4" t="s">
        <v>12</v>
      </c>
      <c r="C7" s="4" t="s">
        <v>41</v>
      </c>
      <c r="D7" s="78"/>
      <c r="E7" s="78"/>
      <c r="F7" s="78"/>
      <c r="G7" s="4"/>
      <c r="H7" s="4"/>
      <c r="I7" s="78"/>
    </row>
    <row r="8" spans="2:9" ht="30" x14ac:dyDescent="0.25">
      <c r="B8" s="4" t="s">
        <v>15</v>
      </c>
      <c r="C8" s="4" t="s">
        <v>42</v>
      </c>
      <c r="D8" s="78"/>
      <c r="E8" s="78"/>
      <c r="F8" s="78"/>
      <c r="G8" s="4"/>
      <c r="H8" s="4"/>
      <c r="I8" s="78"/>
    </row>
    <row r="9" spans="2:9" x14ac:dyDescent="0.25">
      <c r="B9" s="4"/>
      <c r="C9" s="4"/>
      <c r="D9" s="78"/>
      <c r="E9" s="78"/>
      <c r="F9" s="78"/>
      <c r="G9" s="4"/>
      <c r="H9" s="4"/>
      <c r="I9" s="78"/>
    </row>
    <row r="10" spans="2:9" x14ac:dyDescent="0.25">
      <c r="B10" s="99" t="s">
        <v>21</v>
      </c>
      <c r="C10" s="99" t="s">
        <v>43</v>
      </c>
      <c r="D10" s="40"/>
      <c r="E10" s="78"/>
      <c r="F10" s="78">
        <f>'Projected Sales FY''15-16'!D11*'Projected Sales FY''15-16'!G11/10</f>
        <v>801.18462506617652</v>
      </c>
      <c r="G10" s="4"/>
      <c r="H10" s="4"/>
      <c r="I10" s="78">
        <f>'Projected Sales FY''15-16'!F11*'Projected Sales FY''15-16'!G11/10</f>
        <v>816.9077457819119</v>
      </c>
    </row>
    <row r="11" spans="2:9" ht="30" x14ac:dyDescent="0.25">
      <c r="B11" s="4" t="s">
        <v>12</v>
      </c>
      <c r="C11" s="4" t="s">
        <v>44</v>
      </c>
      <c r="D11" s="78"/>
      <c r="E11" s="78"/>
      <c r="F11" s="78"/>
      <c r="G11" s="4"/>
      <c r="H11" s="4"/>
      <c r="I11" s="78"/>
    </row>
    <row r="12" spans="2:9" ht="30" x14ac:dyDescent="0.25">
      <c r="B12" s="4" t="s">
        <v>15</v>
      </c>
      <c r="C12" s="4" t="s">
        <v>45</v>
      </c>
      <c r="D12" s="78"/>
      <c r="E12" s="78"/>
      <c r="F12" s="78"/>
      <c r="G12" s="4"/>
      <c r="H12" s="4"/>
      <c r="I12" s="78"/>
    </row>
    <row r="13" spans="2:9" x14ac:dyDescent="0.25">
      <c r="B13" s="4"/>
      <c r="C13" s="4"/>
      <c r="D13" s="78"/>
      <c r="E13" s="78"/>
      <c r="F13" s="78"/>
      <c r="G13" s="4"/>
      <c r="H13" s="4"/>
      <c r="I13" s="78"/>
    </row>
    <row r="14" spans="2:9" x14ac:dyDescent="0.25">
      <c r="B14" s="99" t="s">
        <v>30</v>
      </c>
      <c r="C14" s="99" t="s">
        <v>46</v>
      </c>
      <c r="D14" s="40"/>
      <c r="E14" s="78"/>
      <c r="F14" s="78">
        <f>'Projected Sales FY''15-16'!D15*'Projected Sales FY''15-16'!G15/10</f>
        <v>0.13</v>
      </c>
      <c r="G14" s="4"/>
      <c r="H14" s="4"/>
      <c r="I14" s="78">
        <f>'Projected Sales FY''15-16'!F15*'Projected Sales FY''15-16'!G15/10</f>
        <v>0.1129708659588096</v>
      </c>
    </row>
    <row r="15" spans="2:9" ht="45" x14ac:dyDescent="0.25">
      <c r="B15" s="4" t="s">
        <v>12</v>
      </c>
      <c r="C15" s="4" t="s">
        <v>47</v>
      </c>
      <c r="D15" s="78"/>
      <c r="E15" s="78"/>
      <c r="F15" s="78"/>
      <c r="G15" s="4"/>
      <c r="H15" s="4"/>
      <c r="I15" s="78"/>
    </row>
    <row r="16" spans="2:9" ht="45" x14ac:dyDescent="0.25">
      <c r="B16" s="4" t="s">
        <v>15</v>
      </c>
      <c r="C16" s="4" t="s">
        <v>48</v>
      </c>
      <c r="D16" s="78"/>
      <c r="E16" s="78"/>
      <c r="F16" s="78"/>
      <c r="G16" s="4"/>
      <c r="H16" s="4"/>
      <c r="I16" s="78"/>
    </row>
    <row r="17" spans="2:9" ht="45" x14ac:dyDescent="0.25">
      <c r="B17" s="4" t="s">
        <v>18</v>
      </c>
      <c r="C17" s="4" t="s">
        <v>49</v>
      </c>
      <c r="D17" s="78"/>
      <c r="E17" s="78"/>
      <c r="F17" s="78"/>
      <c r="G17" s="4"/>
      <c r="H17" s="4"/>
      <c r="I17" s="78"/>
    </row>
    <row r="18" spans="2:9" x14ac:dyDescent="0.25">
      <c r="B18" s="4"/>
      <c r="C18" s="4"/>
      <c r="D18" s="78"/>
      <c r="E18" s="78"/>
      <c r="F18" s="78"/>
      <c r="G18" s="4"/>
      <c r="H18" s="4"/>
      <c r="I18" s="78"/>
    </row>
    <row r="19" spans="2:9" x14ac:dyDescent="0.25">
      <c r="B19" s="4" t="s">
        <v>50</v>
      </c>
      <c r="C19" s="4" t="s">
        <v>51</v>
      </c>
      <c r="D19" s="40"/>
      <c r="E19" s="78"/>
      <c r="F19" s="78"/>
      <c r="G19" s="4"/>
      <c r="H19" s="4"/>
      <c r="I19" s="78"/>
    </row>
    <row r="20" spans="2:9" x14ac:dyDescent="0.25">
      <c r="B20" s="4"/>
      <c r="C20" s="4"/>
      <c r="D20" s="40"/>
      <c r="E20" s="78"/>
      <c r="F20" s="78"/>
      <c r="G20" s="4"/>
      <c r="H20" s="4"/>
      <c r="I20" s="78"/>
    </row>
    <row r="21" spans="2:9" x14ac:dyDescent="0.25">
      <c r="B21" s="4" t="s">
        <v>52</v>
      </c>
      <c r="C21" s="4" t="s">
        <v>53</v>
      </c>
      <c r="D21" s="78"/>
      <c r="E21" s="78"/>
      <c r="F21" s="78"/>
      <c r="G21" s="4"/>
      <c r="H21" s="4"/>
      <c r="I21" s="78"/>
    </row>
    <row r="22" spans="2:9" x14ac:dyDescent="0.25">
      <c r="B22" s="4"/>
      <c r="C22" s="4"/>
      <c r="D22" s="78"/>
      <c r="E22" s="78"/>
      <c r="F22" s="78"/>
      <c r="G22" s="4"/>
      <c r="H22" s="4"/>
      <c r="I22" s="78"/>
    </row>
    <row r="23" spans="2:9" x14ac:dyDescent="0.25">
      <c r="B23" s="4" t="s">
        <v>54</v>
      </c>
      <c r="C23" s="4" t="s">
        <v>55</v>
      </c>
      <c r="D23" s="78"/>
      <c r="E23" s="78"/>
      <c r="F23" s="78">
        <f>'Projected Sales FY''15-16'!D24*'Projected Sales FY''15-16'!G24/10</f>
        <v>6.18</v>
      </c>
      <c r="G23" s="4"/>
      <c r="H23" s="4"/>
      <c r="I23" s="78">
        <f>'Projected Sales FY''15-16'!F24*'Projected Sales FY''15-16'!G24/10</f>
        <v>6.1676695602201921</v>
      </c>
    </row>
    <row r="24" spans="2:9" x14ac:dyDescent="0.25">
      <c r="B24" s="4" t="s">
        <v>12</v>
      </c>
      <c r="C24" s="4" t="s">
        <v>56</v>
      </c>
      <c r="D24" s="78"/>
      <c r="E24" s="78"/>
      <c r="F24" s="78"/>
      <c r="G24" s="4"/>
      <c r="H24" s="4"/>
      <c r="I24" s="78"/>
    </row>
    <row r="25" spans="2:9" x14ac:dyDescent="0.25">
      <c r="B25" s="4" t="s">
        <v>15</v>
      </c>
      <c r="C25" s="4" t="s">
        <v>57</v>
      </c>
      <c r="D25" s="78"/>
      <c r="E25" s="78"/>
      <c r="F25" s="78"/>
      <c r="G25" s="4"/>
      <c r="H25" s="4"/>
      <c r="I25" s="78"/>
    </row>
    <row r="26" spans="2:9" x14ac:dyDescent="0.25">
      <c r="B26" s="4"/>
      <c r="C26" s="4"/>
      <c r="D26" s="78"/>
      <c r="E26" s="78"/>
      <c r="F26" s="78"/>
      <c r="G26" s="4"/>
      <c r="H26" s="4"/>
      <c r="I26" s="78"/>
    </row>
    <row r="27" spans="2:9" x14ac:dyDescent="0.25">
      <c r="B27" s="4" t="s">
        <v>58</v>
      </c>
      <c r="C27" s="4" t="s">
        <v>74</v>
      </c>
      <c r="D27" s="78"/>
      <c r="E27" s="78"/>
      <c r="F27" s="78"/>
      <c r="G27" s="4"/>
      <c r="H27" s="4"/>
      <c r="I27" s="78"/>
    </row>
    <row r="28" spans="2:9" x14ac:dyDescent="0.25">
      <c r="B28" s="4" t="s">
        <v>12</v>
      </c>
      <c r="C28" s="4" t="s">
        <v>59</v>
      </c>
      <c r="D28" s="78"/>
      <c r="E28" s="78"/>
      <c r="F28" s="78"/>
      <c r="G28" s="4"/>
      <c r="H28" s="4"/>
      <c r="I28" s="78"/>
    </row>
    <row r="29" spans="2:9" x14ac:dyDescent="0.25">
      <c r="B29" s="4" t="s">
        <v>15</v>
      </c>
      <c r="C29" s="4" t="s">
        <v>60</v>
      </c>
      <c r="D29" s="78"/>
      <c r="E29" s="78"/>
      <c r="F29" s="78"/>
      <c r="G29" s="4"/>
      <c r="H29" s="4"/>
      <c r="I29" s="78"/>
    </row>
    <row r="30" spans="2:9" x14ac:dyDescent="0.25">
      <c r="B30" s="4"/>
      <c r="C30" s="4"/>
      <c r="D30" s="78"/>
      <c r="E30" s="78"/>
      <c r="F30" s="78"/>
      <c r="G30" s="4"/>
      <c r="H30" s="4"/>
      <c r="I30" s="78"/>
    </row>
    <row r="31" spans="2:9" x14ac:dyDescent="0.25">
      <c r="B31" s="4" t="s">
        <v>61</v>
      </c>
      <c r="C31" s="4" t="s">
        <v>62</v>
      </c>
      <c r="D31" s="78"/>
      <c r="E31" s="78"/>
      <c r="F31" s="78"/>
      <c r="G31" s="4"/>
      <c r="H31" s="4"/>
      <c r="I31" s="78"/>
    </row>
    <row r="32" spans="2:9" x14ac:dyDescent="0.25">
      <c r="B32" s="4"/>
      <c r="C32" s="4"/>
      <c r="D32" s="78"/>
      <c r="E32" s="78"/>
      <c r="F32" s="78"/>
      <c r="G32" s="4"/>
      <c r="H32" s="4"/>
      <c r="I32" s="78"/>
    </row>
    <row r="33" spans="2:10" x14ac:dyDescent="0.25">
      <c r="B33" s="4" t="s">
        <v>63</v>
      </c>
      <c r="C33" s="4" t="s">
        <v>64</v>
      </c>
      <c r="D33" s="78"/>
      <c r="E33" s="78"/>
      <c r="F33" s="78"/>
      <c r="G33" s="4"/>
      <c r="H33" s="4"/>
      <c r="I33" s="78"/>
    </row>
    <row r="34" spans="2:10" x14ac:dyDescent="0.25">
      <c r="B34" s="4"/>
      <c r="C34" s="4"/>
      <c r="D34" s="78"/>
      <c r="E34" s="78"/>
      <c r="F34" s="78"/>
      <c r="G34" s="4"/>
      <c r="H34" s="4"/>
      <c r="I34" s="78"/>
    </row>
    <row r="35" spans="2:10" x14ac:dyDescent="0.25">
      <c r="B35" s="4" t="s">
        <v>65</v>
      </c>
      <c r="C35" s="4" t="s">
        <v>66</v>
      </c>
      <c r="D35" s="78"/>
      <c r="E35" s="78"/>
      <c r="F35" s="78">
        <f>'Projected Sales FY''15-16'!D36*'Projected Sales FY''15-16'!G36/10</f>
        <v>10.363786916919681</v>
      </c>
      <c r="G35" s="4"/>
      <c r="H35" s="4"/>
      <c r="I35" s="78">
        <f>'Projected Sales FY''15-16'!F36*'Projected Sales FY''15-16'!G36/10</f>
        <v>23.663980126966607</v>
      </c>
    </row>
    <row r="36" spans="2:10" x14ac:dyDescent="0.25">
      <c r="B36" s="4"/>
      <c r="C36" s="4"/>
      <c r="D36" s="78"/>
      <c r="E36" s="78"/>
      <c r="F36" s="78"/>
      <c r="G36" s="4"/>
      <c r="H36" s="4"/>
      <c r="I36" s="78"/>
    </row>
    <row r="37" spans="2:10" ht="30" x14ac:dyDescent="0.25">
      <c r="B37" s="4" t="s">
        <v>67</v>
      </c>
      <c r="C37" s="4" t="s">
        <v>68</v>
      </c>
      <c r="D37" s="78"/>
      <c r="E37" s="78"/>
      <c r="F37" s="78"/>
      <c r="G37" s="4"/>
      <c r="H37" s="4"/>
      <c r="I37" s="78"/>
    </row>
    <row r="38" spans="2:10" x14ac:dyDescent="0.25">
      <c r="B38" s="4"/>
      <c r="C38" s="4"/>
      <c r="D38" s="78"/>
      <c r="E38" s="78"/>
      <c r="F38" s="78"/>
      <c r="G38" s="4"/>
      <c r="H38" s="4"/>
      <c r="I38" s="78"/>
    </row>
    <row r="39" spans="2:10" x14ac:dyDescent="0.25">
      <c r="B39" s="4" t="s">
        <v>69</v>
      </c>
      <c r="C39" s="4" t="s">
        <v>70</v>
      </c>
      <c r="D39" s="78"/>
      <c r="E39" s="78"/>
      <c r="F39" s="78"/>
      <c r="G39" s="4"/>
      <c r="H39" s="4"/>
      <c r="I39" s="78"/>
    </row>
    <row r="40" spans="2:10" x14ac:dyDescent="0.25">
      <c r="B40" s="4"/>
      <c r="C40" s="4"/>
      <c r="D40" s="78"/>
      <c r="E40" s="78"/>
      <c r="F40" s="78"/>
      <c r="G40" s="4"/>
      <c r="H40" s="4"/>
      <c r="I40" s="78"/>
    </row>
    <row r="41" spans="2:10" x14ac:dyDescent="0.25">
      <c r="B41" s="4" t="s">
        <v>71</v>
      </c>
      <c r="C41" s="4" t="s">
        <v>72</v>
      </c>
      <c r="D41" s="78"/>
      <c r="E41" s="78"/>
      <c r="F41" s="78">
        <f>'Projected Sales FY''15-16'!D42*'Projected Sales FY''15-16'!G42/10</f>
        <v>2.8829568788501025</v>
      </c>
      <c r="G41" s="4"/>
      <c r="H41" s="4"/>
      <c r="I41" s="78">
        <f>'Projected Sales FY''15-16'!F42*'Projected Sales FY''15-16'!G42/10</f>
        <v>2.9070327900085164</v>
      </c>
    </row>
    <row r="42" spans="2:10" x14ac:dyDescent="0.25">
      <c r="B42" s="4"/>
      <c r="C42" s="99" t="s">
        <v>73</v>
      </c>
      <c r="D42" s="78"/>
      <c r="E42" s="78"/>
      <c r="F42" s="40">
        <f>SUM(F6:F41)</f>
        <v>946.78949977363845</v>
      </c>
      <c r="G42" s="99"/>
      <c r="H42" s="99"/>
      <c r="I42" s="40">
        <f>SUM(I6:I41)</f>
        <v>977.96493400080669</v>
      </c>
      <c r="J42" s="116"/>
    </row>
    <row r="43" spans="2:10" x14ac:dyDescent="0.25">
      <c r="I43" s="116"/>
    </row>
    <row r="45" spans="2:10" x14ac:dyDescent="0.25">
      <c r="I45" s="116"/>
    </row>
  </sheetData>
  <customSheetViews>
    <customSheetView guid="{9CE83D47-1940-43F4-9510-4E48915AF617}">
      <selection activeCell="B2" sqref="B2:F2"/>
      <pageMargins left="0.7" right="0.7" top="0.75" bottom="0.75" header="0.3" footer="0.3"/>
    </customSheetView>
  </customSheetViews>
  <mergeCells count="3">
    <mergeCell ref="B2:I2"/>
    <mergeCell ref="D3:F3"/>
    <mergeCell ref="G3:I3"/>
  </mergeCells>
  <pageMargins left="0.7" right="0.7" top="0.75" bottom="0.75" header="0.3" footer="0.3"/>
  <pageSetup paperSize="9" scale="6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7"/>
  <sheetViews>
    <sheetView topLeftCell="A12" workbookViewId="0">
      <selection activeCell="C25" sqref="C25"/>
    </sheetView>
  </sheetViews>
  <sheetFormatPr defaultRowHeight="15" x14ac:dyDescent="0.25"/>
  <cols>
    <col min="1" max="2" width="9.140625" style="96"/>
    <col min="3" max="3" width="30.7109375" style="96" customWidth="1"/>
    <col min="4" max="4" width="9.140625" style="96"/>
    <col min="5" max="5" width="12.140625" style="96" customWidth="1"/>
    <col min="6" max="6" width="10.5703125" style="96" customWidth="1"/>
    <col min="7" max="7" width="12" style="96" bestFit="1" customWidth="1"/>
    <col min="8" max="16384" width="9.140625" style="96"/>
  </cols>
  <sheetData>
    <row r="2" spans="2:6" ht="20.25" customHeight="1" x14ac:dyDescent="0.25">
      <c r="B2" s="239" t="s">
        <v>205</v>
      </c>
      <c r="C2" s="239"/>
      <c r="D2" s="239"/>
      <c r="E2" s="239"/>
      <c r="F2" s="239"/>
    </row>
    <row r="4" spans="2:6" ht="30" x14ac:dyDescent="0.25">
      <c r="B4" s="99" t="s">
        <v>100</v>
      </c>
      <c r="C4" s="99" t="s">
        <v>6</v>
      </c>
      <c r="D4" s="99" t="s">
        <v>7</v>
      </c>
      <c r="E4" s="99" t="s">
        <v>726</v>
      </c>
      <c r="F4" s="160" t="s">
        <v>8</v>
      </c>
    </row>
    <row r="5" spans="2:6" x14ac:dyDescent="0.25">
      <c r="B5" s="99">
        <v>1</v>
      </c>
      <c r="C5" s="99">
        <v>2</v>
      </c>
      <c r="D5" s="99">
        <v>3</v>
      </c>
      <c r="E5" s="99">
        <v>4</v>
      </c>
      <c r="F5" s="164">
        <v>5</v>
      </c>
    </row>
    <row r="6" spans="2:6" x14ac:dyDescent="0.25">
      <c r="B6" s="4" t="s">
        <v>10</v>
      </c>
      <c r="C6" s="4" t="s">
        <v>23</v>
      </c>
      <c r="D6" s="4" t="s">
        <v>14</v>
      </c>
      <c r="E6" s="78">
        <f>'Energy Requirement'!E5</f>
        <v>1375.1872263128855</v>
      </c>
      <c r="F6" s="78">
        <f>'Energy Sales'!J42</f>
        <v>1337.15</v>
      </c>
    </row>
    <row r="7" spans="2:6" x14ac:dyDescent="0.25">
      <c r="B7" s="4" t="s">
        <v>21</v>
      </c>
      <c r="C7" s="4" t="s">
        <v>206</v>
      </c>
      <c r="D7" s="4" t="s">
        <v>17</v>
      </c>
      <c r="E7" s="123">
        <v>3.0000000000000001E-3</v>
      </c>
      <c r="F7" s="123">
        <v>2.5000000000000001E-3</v>
      </c>
    </row>
    <row r="8" spans="2:6" x14ac:dyDescent="0.25">
      <c r="B8" s="4" t="s">
        <v>30</v>
      </c>
      <c r="C8" s="4" t="s">
        <v>206</v>
      </c>
      <c r="D8" s="4" t="s">
        <v>14</v>
      </c>
      <c r="E8" s="78">
        <f>E6*E7</f>
        <v>4.1255616789386567</v>
      </c>
      <c r="F8" s="78">
        <f>F6*F7</f>
        <v>3.3428750000000003</v>
      </c>
    </row>
    <row r="9" spans="2:6" x14ac:dyDescent="0.25">
      <c r="B9" s="4" t="s">
        <v>50</v>
      </c>
      <c r="C9" s="4" t="s">
        <v>207</v>
      </c>
      <c r="D9" s="4" t="s">
        <v>14</v>
      </c>
      <c r="E9" s="126">
        <f>'Power Purchase Cost 2015-16'!G78</f>
        <v>1.575</v>
      </c>
      <c r="F9" s="78">
        <f>'Power Purchase Cost 2015-16'!D78</f>
        <v>1.26</v>
      </c>
    </row>
    <row r="10" spans="2:6" ht="30" x14ac:dyDescent="0.25">
      <c r="B10" s="4" t="s">
        <v>52</v>
      </c>
      <c r="C10" s="4" t="s">
        <v>208</v>
      </c>
      <c r="D10" s="4" t="s">
        <v>14</v>
      </c>
      <c r="E10" s="78">
        <f>E8-E9</f>
        <v>2.5505616789386565</v>
      </c>
      <c r="F10" s="78">
        <f>F8-F9</f>
        <v>2.0828750000000005</v>
      </c>
    </row>
    <row r="11" spans="2:6" x14ac:dyDescent="0.25">
      <c r="B11" s="4" t="s">
        <v>54</v>
      </c>
      <c r="C11" s="4" t="s">
        <v>209</v>
      </c>
      <c r="D11" s="4" t="s">
        <v>193</v>
      </c>
      <c r="E11" s="4">
        <f>(3.5+5.8)/2</f>
        <v>4.6500000000000004</v>
      </c>
      <c r="F11" s="4">
        <f>E11</f>
        <v>4.6500000000000004</v>
      </c>
    </row>
    <row r="12" spans="2:6" x14ac:dyDescent="0.25">
      <c r="B12" s="4" t="s">
        <v>58</v>
      </c>
      <c r="C12" s="4" t="s">
        <v>210</v>
      </c>
      <c r="D12" s="4" t="s">
        <v>211</v>
      </c>
      <c r="E12" s="78">
        <f>(E10*E11)*10^6/10^7</f>
        <v>1.1860111807064755</v>
      </c>
      <c r="F12" s="78">
        <f>(F10*F11)*10^6/10^7</f>
        <v>0.96853687500000019</v>
      </c>
    </row>
    <row r="15" spans="2:6" ht="15" customHeight="1" x14ac:dyDescent="0.25">
      <c r="B15" s="239" t="s">
        <v>212</v>
      </c>
      <c r="C15" s="239"/>
      <c r="D15" s="239"/>
      <c r="E15" s="239"/>
      <c r="F15" s="239"/>
    </row>
    <row r="17" spans="2:6" x14ac:dyDescent="0.25">
      <c r="B17" s="99" t="s">
        <v>100</v>
      </c>
      <c r="C17" s="99" t="s">
        <v>6</v>
      </c>
      <c r="D17" s="99" t="s">
        <v>7</v>
      </c>
      <c r="E17" s="99" t="s">
        <v>726</v>
      </c>
      <c r="F17" s="164" t="s">
        <v>8</v>
      </c>
    </row>
    <row r="18" spans="2:6" x14ac:dyDescent="0.25">
      <c r="B18" s="99">
        <v>1</v>
      </c>
      <c r="C18" s="99">
        <v>2</v>
      </c>
      <c r="D18" s="99">
        <v>3</v>
      </c>
      <c r="E18" s="99">
        <v>4</v>
      </c>
      <c r="F18" s="164">
        <v>5</v>
      </c>
    </row>
    <row r="19" spans="2:6" x14ac:dyDescent="0.25">
      <c r="B19" s="4" t="s">
        <v>10</v>
      </c>
      <c r="C19" s="4" t="s">
        <v>23</v>
      </c>
      <c r="D19" s="4" t="s">
        <v>14</v>
      </c>
      <c r="E19" s="78">
        <f>E6</f>
        <v>1375.1872263128855</v>
      </c>
      <c r="F19" s="78">
        <f>'Energy Sales'!J42</f>
        <v>1337.15</v>
      </c>
    </row>
    <row r="20" spans="2:6" x14ac:dyDescent="0.25">
      <c r="B20" s="4" t="s">
        <v>21</v>
      </c>
      <c r="C20" s="4" t="s">
        <v>213</v>
      </c>
      <c r="D20" s="4" t="s">
        <v>17</v>
      </c>
      <c r="E20" s="123">
        <v>7.2999999999999995E-2</v>
      </c>
      <c r="F20" s="123">
        <v>5.9499999999999997E-2</v>
      </c>
    </row>
    <row r="21" spans="2:6" x14ac:dyDescent="0.25">
      <c r="B21" s="4" t="s">
        <v>30</v>
      </c>
      <c r="C21" s="4" t="s">
        <v>213</v>
      </c>
      <c r="D21" s="4" t="s">
        <v>14</v>
      </c>
      <c r="E21" s="78">
        <f>E19*E20</f>
        <v>100.38866752084064</v>
      </c>
      <c r="F21" s="78">
        <f>F19*F20</f>
        <v>79.560424999999995</v>
      </c>
    </row>
    <row r="22" spans="2:6" x14ac:dyDescent="0.25">
      <c r="B22" s="4" t="s">
        <v>50</v>
      </c>
      <c r="C22" s="4" t="s">
        <v>214</v>
      </c>
      <c r="D22" s="4" t="s">
        <v>14</v>
      </c>
      <c r="E22" s="59">
        <f>Assumption!E17</f>
        <v>23.25</v>
      </c>
      <c r="F22" s="4">
        <f>'Power Purchase Cost 2015-16'!D79</f>
        <v>23.25</v>
      </c>
    </row>
    <row r="23" spans="2:6" ht="30" x14ac:dyDescent="0.25">
      <c r="B23" s="4" t="s">
        <v>52</v>
      </c>
      <c r="C23" s="4" t="s">
        <v>208</v>
      </c>
      <c r="D23" s="4" t="s">
        <v>14</v>
      </c>
      <c r="E23" s="126">
        <f>E21-E22</f>
        <v>77.138667520840642</v>
      </c>
      <c r="F23" s="126">
        <f>F21-F22</f>
        <v>56.310424999999995</v>
      </c>
    </row>
    <row r="24" spans="2:6" x14ac:dyDescent="0.25">
      <c r="B24" s="4" t="s">
        <v>54</v>
      </c>
      <c r="C24" s="4" t="s">
        <v>209</v>
      </c>
      <c r="D24" s="4" t="s">
        <v>193</v>
      </c>
      <c r="E24" s="59">
        <v>1.5</v>
      </c>
      <c r="F24" s="59">
        <v>1.5</v>
      </c>
    </row>
    <row r="25" spans="2:6" x14ac:dyDescent="0.25">
      <c r="B25" s="4" t="s">
        <v>58</v>
      </c>
      <c r="C25" s="4" t="s">
        <v>210</v>
      </c>
      <c r="D25" s="4" t="s">
        <v>211</v>
      </c>
      <c r="E25" s="126">
        <f>(E23*E24)/10</f>
        <v>11.570800128126097</v>
      </c>
      <c r="F25" s="126">
        <f>(F23*F24)/10</f>
        <v>8.4465637499999993</v>
      </c>
    </row>
    <row r="27" spans="2:6" x14ac:dyDescent="0.25">
      <c r="B27" s="4"/>
      <c r="C27" s="99" t="s">
        <v>886</v>
      </c>
      <c r="D27" s="4" t="s">
        <v>211</v>
      </c>
      <c r="E27" s="40">
        <f>E12+E25</f>
        <v>12.756811308832573</v>
      </c>
      <c r="F27" s="40">
        <f>F12+F25</f>
        <v>9.4151006249999991</v>
      </c>
    </row>
  </sheetData>
  <customSheetViews>
    <customSheetView guid="{9CE83D47-1940-43F4-9510-4E48915AF617}" topLeftCell="A14">
      <selection activeCell="I35" sqref="I35"/>
      <pageMargins left="0.7" right="0.7" top="0.75" bottom="0.75" header="0.3" footer="0.3"/>
    </customSheetView>
  </customSheetViews>
  <mergeCells count="2">
    <mergeCell ref="B2:F2"/>
    <mergeCell ref="B15:F15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3"/>
  <sheetViews>
    <sheetView topLeftCell="A12" workbookViewId="0">
      <selection activeCell="G22" sqref="G22"/>
    </sheetView>
  </sheetViews>
  <sheetFormatPr defaultRowHeight="15" x14ac:dyDescent="0.25"/>
  <cols>
    <col min="1" max="2" width="9.140625" style="96"/>
    <col min="3" max="3" width="19.5703125" style="96" customWidth="1"/>
    <col min="4" max="16384" width="9.140625" style="96"/>
  </cols>
  <sheetData>
    <row r="2" spans="2:5" x14ac:dyDescent="0.25">
      <c r="B2" s="239" t="s">
        <v>826</v>
      </c>
      <c r="C2" s="239"/>
      <c r="D2" s="239"/>
    </row>
    <row r="3" spans="2:5" x14ac:dyDescent="0.25">
      <c r="D3" s="96" t="s">
        <v>882</v>
      </c>
      <c r="E3" s="96" t="s">
        <v>830</v>
      </c>
    </row>
    <row r="4" spans="2:5" x14ac:dyDescent="0.25">
      <c r="B4" s="99" t="s">
        <v>100</v>
      </c>
      <c r="C4" s="99" t="s">
        <v>6</v>
      </c>
      <c r="D4" s="99" t="s">
        <v>17</v>
      </c>
      <c r="E4" s="4" t="s">
        <v>17</v>
      </c>
    </row>
    <row r="5" spans="2:5" x14ac:dyDescent="0.25">
      <c r="B5" s="4" t="s">
        <v>10</v>
      </c>
      <c r="C5" s="4" t="s">
        <v>101</v>
      </c>
      <c r="D5" s="123">
        <f>'Energy Balance'!G19</f>
        <v>8.3088783989555243E-2</v>
      </c>
      <c r="E5" s="123">
        <f>'Energy Balance'!G19</f>
        <v>8.3088783989555243E-2</v>
      </c>
    </row>
    <row r="6" spans="2:5" x14ac:dyDescent="0.25">
      <c r="B6" s="4" t="s">
        <v>21</v>
      </c>
      <c r="C6" s="4" t="s">
        <v>102</v>
      </c>
      <c r="D6" s="125">
        <f>Assumption!D19</f>
        <v>1</v>
      </c>
      <c r="E6" s="125">
        <f>Assumption!E19</f>
        <v>1</v>
      </c>
    </row>
    <row r="7" spans="2:5" x14ac:dyDescent="0.25">
      <c r="B7" s="4" t="s">
        <v>30</v>
      </c>
      <c r="C7" s="4" t="s">
        <v>103</v>
      </c>
      <c r="D7" s="123">
        <f>Assumption!D20</f>
        <v>8.3088783989555243E-2</v>
      </c>
      <c r="E7" s="123">
        <f>Assumption!E20</f>
        <v>8.3088783989555243E-2</v>
      </c>
    </row>
    <row r="9" spans="2:5" ht="30" x14ac:dyDescent="0.25">
      <c r="B9" s="189" t="s">
        <v>100</v>
      </c>
      <c r="C9" s="189" t="s">
        <v>6</v>
      </c>
      <c r="D9" s="189" t="s">
        <v>8</v>
      </c>
      <c r="E9" s="189" t="s">
        <v>9</v>
      </c>
    </row>
    <row r="10" spans="2:5" ht="30" x14ac:dyDescent="0.25">
      <c r="B10" s="98" t="s">
        <v>10</v>
      </c>
      <c r="C10" s="98" t="s">
        <v>980</v>
      </c>
      <c r="D10" s="35">
        <v>9.8500000000000004E-2</v>
      </c>
      <c r="E10" s="98"/>
    </row>
    <row r="11" spans="2:5" ht="30" x14ac:dyDescent="0.25">
      <c r="B11" s="98" t="s">
        <v>21</v>
      </c>
      <c r="C11" s="98" t="s">
        <v>981</v>
      </c>
      <c r="D11" s="35">
        <f>E7</f>
        <v>8.3088783989555243E-2</v>
      </c>
      <c r="E11" s="98"/>
    </row>
    <row r="12" spans="2:5" ht="30" x14ac:dyDescent="0.25">
      <c r="B12" s="98" t="s">
        <v>30</v>
      </c>
      <c r="C12" s="98" t="s">
        <v>983</v>
      </c>
      <c r="D12" s="35">
        <v>0.10100000000000001</v>
      </c>
      <c r="E12" s="98"/>
    </row>
    <row r="13" spans="2:5" ht="30" x14ac:dyDescent="0.25">
      <c r="B13" s="98" t="s">
        <v>50</v>
      </c>
      <c r="C13" s="98" t="s">
        <v>650</v>
      </c>
      <c r="D13" s="37">
        <f>(D10-D11)/(D12-D10)/100</f>
        <v>6.1644864041778991E-2</v>
      </c>
      <c r="E13" s="98"/>
    </row>
  </sheetData>
  <customSheetViews>
    <customSheetView guid="{9CE83D47-1940-43F4-9510-4E48915AF617}">
      <selection activeCell="F4" sqref="F4"/>
      <pageMargins left="0.7" right="0.7" top="0.75" bottom="0.75" header="0.3" footer="0.3"/>
    </customSheetView>
  </customSheetViews>
  <mergeCells count="1">
    <mergeCell ref="B2:D2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O87"/>
  <sheetViews>
    <sheetView topLeftCell="G72" zoomScale="98" zoomScaleNormal="98" workbookViewId="0">
      <selection activeCell="L93" sqref="L93"/>
    </sheetView>
  </sheetViews>
  <sheetFormatPr defaultRowHeight="15" x14ac:dyDescent="0.25"/>
  <cols>
    <col min="1" max="2" width="9.140625" style="96"/>
    <col min="3" max="3" width="26" style="96" customWidth="1"/>
    <col min="4" max="4" width="17" style="96" customWidth="1"/>
    <col min="5" max="12" width="12.42578125" style="96" customWidth="1"/>
    <col min="13" max="14" width="9.140625" style="96"/>
    <col min="15" max="15" width="12.42578125" style="96" customWidth="1"/>
    <col min="16" max="16384" width="9.140625" style="96"/>
  </cols>
  <sheetData>
    <row r="2" spans="2:15" ht="19.5" customHeight="1" x14ac:dyDescent="0.25">
      <c r="B2" s="264" t="s">
        <v>682</v>
      </c>
      <c r="C2" s="264"/>
      <c r="D2" s="264"/>
      <c r="E2" s="264"/>
      <c r="F2" s="264"/>
    </row>
    <row r="3" spans="2:15" x14ac:dyDescent="0.25">
      <c r="E3" s="96" t="s">
        <v>882</v>
      </c>
      <c r="G3" s="96" t="s">
        <v>830</v>
      </c>
    </row>
    <row r="4" spans="2:15" ht="45" x14ac:dyDescent="0.25">
      <c r="B4" s="99" t="s">
        <v>100</v>
      </c>
      <c r="C4" s="99" t="s">
        <v>6</v>
      </c>
      <c r="D4" s="99" t="s">
        <v>104</v>
      </c>
      <c r="E4" s="99" t="s">
        <v>105</v>
      </c>
      <c r="F4" s="99" t="s">
        <v>106</v>
      </c>
      <c r="G4" s="160" t="s">
        <v>105</v>
      </c>
    </row>
    <row r="5" spans="2:15" x14ac:dyDescent="0.25">
      <c r="B5" s="4" t="s">
        <v>10</v>
      </c>
      <c r="C5" s="4" t="s">
        <v>23</v>
      </c>
      <c r="D5" s="4" t="s">
        <v>14</v>
      </c>
      <c r="E5" s="78">
        <f>'Projected Sales FY''15-16'!F43</f>
        <v>1375.1872263128855</v>
      </c>
      <c r="F5" s="4"/>
      <c r="G5" s="78">
        <f>'Energy Balance'!F18</f>
        <v>1337.15</v>
      </c>
    </row>
    <row r="6" spans="2:15" x14ac:dyDescent="0.25">
      <c r="B6" s="4" t="s">
        <v>21</v>
      </c>
      <c r="C6" s="4" t="s">
        <v>24</v>
      </c>
      <c r="D6" s="4" t="s">
        <v>17</v>
      </c>
      <c r="E6" s="123">
        <f>'AT&amp;C Loss'!D5</f>
        <v>8.3088783989555243E-2</v>
      </c>
      <c r="F6" s="4"/>
      <c r="G6" s="123">
        <f>'Energy Balance'!F19</f>
        <v>8.3088783989555243E-2</v>
      </c>
    </row>
    <row r="7" spans="2:15" x14ac:dyDescent="0.25">
      <c r="B7" s="4" t="s">
        <v>30</v>
      </c>
      <c r="C7" s="4" t="s">
        <v>22</v>
      </c>
      <c r="D7" s="4" t="s">
        <v>14</v>
      </c>
      <c r="E7" s="78">
        <f>E5/(1-E6)</f>
        <v>1499.8041274884135</v>
      </c>
      <c r="F7" s="4" t="s">
        <v>107</v>
      </c>
      <c r="G7" s="78">
        <f>G5/(1-G6)</f>
        <v>1458.3200386816604</v>
      </c>
    </row>
    <row r="8" spans="2:15" x14ac:dyDescent="0.25">
      <c r="B8" s="4" t="s">
        <v>50</v>
      </c>
      <c r="C8" s="4" t="s">
        <v>24</v>
      </c>
      <c r="D8" s="4" t="s">
        <v>14</v>
      </c>
      <c r="E8" s="78">
        <f>E7-E5</f>
        <v>124.61690117552803</v>
      </c>
      <c r="F8" s="4" t="s">
        <v>108</v>
      </c>
      <c r="G8" s="78">
        <f>G7-G5</f>
        <v>121.17003868166034</v>
      </c>
    </row>
    <row r="10" spans="2:15" ht="15" customHeight="1" x14ac:dyDescent="0.25">
      <c r="B10" s="239" t="s">
        <v>684</v>
      </c>
      <c r="C10" s="239"/>
      <c r="D10" s="239"/>
      <c r="E10" s="239"/>
      <c r="F10" s="239"/>
      <c r="G10" s="239"/>
      <c r="H10" s="239"/>
      <c r="I10" s="239"/>
      <c r="J10" s="239"/>
      <c r="K10" s="239"/>
      <c r="L10" s="239"/>
      <c r="M10" s="239"/>
      <c r="N10" s="239"/>
      <c r="O10" s="239"/>
    </row>
    <row r="12" spans="2:15" ht="75" x14ac:dyDescent="0.25">
      <c r="B12" s="244" t="s">
        <v>100</v>
      </c>
      <c r="C12" s="244" t="s">
        <v>109</v>
      </c>
      <c r="D12" s="99" t="s">
        <v>110</v>
      </c>
      <c r="E12" s="244" t="s">
        <v>111</v>
      </c>
      <c r="F12" s="244"/>
      <c r="G12" s="244" t="s">
        <v>112</v>
      </c>
      <c r="H12" s="244"/>
      <c r="I12" s="244" t="s">
        <v>113</v>
      </c>
      <c r="J12" s="244"/>
      <c r="K12" s="244" t="s">
        <v>114</v>
      </c>
      <c r="L12" s="244"/>
      <c r="M12" s="99" t="s">
        <v>115</v>
      </c>
      <c r="N12" s="99" t="s">
        <v>116</v>
      </c>
      <c r="O12" s="99" t="s">
        <v>117</v>
      </c>
    </row>
    <row r="13" spans="2:15" x14ac:dyDescent="0.25">
      <c r="B13" s="244"/>
      <c r="C13" s="244"/>
      <c r="D13" s="99" t="s">
        <v>118</v>
      </c>
      <c r="E13" s="99" t="s">
        <v>17</v>
      </c>
      <c r="F13" s="99" t="s">
        <v>118</v>
      </c>
      <c r="G13" s="99" t="s">
        <v>17</v>
      </c>
      <c r="H13" s="99" t="s">
        <v>118</v>
      </c>
      <c r="I13" s="99" t="s">
        <v>17</v>
      </c>
      <c r="J13" s="99" t="s">
        <v>118</v>
      </c>
      <c r="K13" s="99" t="s">
        <v>17</v>
      </c>
      <c r="L13" s="99" t="s">
        <v>118</v>
      </c>
      <c r="M13" s="99" t="s">
        <v>17</v>
      </c>
      <c r="N13" s="99" t="s">
        <v>14</v>
      </c>
      <c r="O13" s="99" t="s">
        <v>14</v>
      </c>
    </row>
    <row r="14" spans="2:15" x14ac:dyDescent="0.25">
      <c r="B14" s="99">
        <v>1</v>
      </c>
      <c r="C14" s="99">
        <v>2</v>
      </c>
      <c r="D14" s="99">
        <v>3</v>
      </c>
      <c r="E14" s="99">
        <v>4</v>
      </c>
      <c r="F14" s="99">
        <v>5</v>
      </c>
      <c r="G14" s="99">
        <v>6</v>
      </c>
      <c r="H14" s="99">
        <v>7</v>
      </c>
      <c r="I14" s="99" t="s">
        <v>119</v>
      </c>
      <c r="J14" s="99" t="s">
        <v>120</v>
      </c>
      <c r="K14" s="99">
        <v>10</v>
      </c>
      <c r="L14" s="99">
        <v>11</v>
      </c>
      <c r="M14" s="99">
        <v>12</v>
      </c>
      <c r="N14" s="99" t="s">
        <v>121</v>
      </c>
      <c r="O14" s="99" t="s">
        <v>122</v>
      </c>
    </row>
    <row r="15" spans="2:15" ht="30" x14ac:dyDescent="0.25">
      <c r="B15" s="99" t="s">
        <v>10</v>
      </c>
      <c r="C15" s="99" t="s">
        <v>123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</row>
    <row r="16" spans="2:15" x14ac:dyDescent="0.25">
      <c r="B16" s="99" t="s">
        <v>21</v>
      </c>
      <c r="C16" s="99" t="s">
        <v>124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2:15" x14ac:dyDescent="0.25">
      <c r="B17" s="4" t="s">
        <v>12</v>
      </c>
      <c r="C17" s="4" t="s">
        <v>125</v>
      </c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</row>
    <row r="18" spans="2:15" x14ac:dyDescent="0.25">
      <c r="B18" s="4" t="s">
        <v>15</v>
      </c>
      <c r="C18" s="4" t="s">
        <v>126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</row>
    <row r="19" spans="2:15" x14ac:dyDescent="0.25">
      <c r="B19" s="4" t="s">
        <v>18</v>
      </c>
      <c r="C19" s="4" t="s">
        <v>127</v>
      </c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</row>
    <row r="20" spans="2:15" x14ac:dyDescent="0.25">
      <c r="B20" s="4" t="s">
        <v>19</v>
      </c>
      <c r="C20" s="4" t="s">
        <v>128</v>
      </c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2:15" x14ac:dyDescent="0.25">
      <c r="B21" s="4" t="s">
        <v>27</v>
      </c>
      <c r="C21" s="4" t="s">
        <v>129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</row>
    <row r="22" spans="2:15" x14ac:dyDescent="0.25">
      <c r="B22" s="4" t="s">
        <v>130</v>
      </c>
      <c r="C22" s="4" t="s">
        <v>131</v>
      </c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2:15" x14ac:dyDescent="0.25">
      <c r="B23" s="4" t="s">
        <v>132</v>
      </c>
      <c r="C23" s="4" t="s">
        <v>133</v>
      </c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</row>
    <row r="24" spans="2:15" x14ac:dyDescent="0.25">
      <c r="B24" s="4" t="s">
        <v>134</v>
      </c>
      <c r="C24" s="4" t="s">
        <v>135</v>
      </c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</row>
    <row r="25" spans="2:15" x14ac:dyDescent="0.25">
      <c r="B25" s="4" t="s">
        <v>136</v>
      </c>
      <c r="C25" s="4" t="s">
        <v>137</v>
      </c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</row>
    <row r="26" spans="2:15" x14ac:dyDescent="0.25">
      <c r="B26" s="4" t="s">
        <v>140</v>
      </c>
      <c r="C26" s="4" t="s">
        <v>138</v>
      </c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</row>
    <row r="27" spans="2:15" x14ac:dyDescent="0.25">
      <c r="B27" s="4" t="s">
        <v>141</v>
      </c>
      <c r="C27" s="4" t="s">
        <v>139</v>
      </c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</row>
    <row r="28" spans="2:15" x14ac:dyDescent="0.25">
      <c r="B28" s="4" t="s">
        <v>142</v>
      </c>
      <c r="C28" s="4" t="s">
        <v>143</v>
      </c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</row>
    <row r="29" spans="2:15" x14ac:dyDescent="0.25">
      <c r="B29" s="4" t="s">
        <v>144</v>
      </c>
      <c r="C29" s="4" t="s">
        <v>147</v>
      </c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2:15" x14ac:dyDescent="0.25">
      <c r="B30" s="4" t="s">
        <v>145</v>
      </c>
      <c r="C30" s="4" t="s">
        <v>148</v>
      </c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</row>
    <row r="31" spans="2:15" x14ac:dyDescent="0.25">
      <c r="B31" s="4" t="s">
        <v>146</v>
      </c>
      <c r="C31" s="4" t="s">
        <v>149</v>
      </c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2:15" x14ac:dyDescent="0.25">
      <c r="B32" s="4" t="s">
        <v>150</v>
      </c>
      <c r="C32" s="4" t="s">
        <v>151</v>
      </c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2:15" x14ac:dyDescent="0.25">
      <c r="B33" s="4" t="s">
        <v>152</v>
      </c>
      <c r="C33" s="99" t="s">
        <v>73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2:15" x14ac:dyDescent="0.25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2:15" x14ac:dyDescent="0.25">
      <c r="B35" s="99" t="s">
        <v>30</v>
      </c>
      <c r="C35" s="99" t="s">
        <v>153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2:15" x14ac:dyDescent="0.25">
      <c r="B36" s="4" t="s">
        <v>12</v>
      </c>
      <c r="C36" s="4" t="s">
        <v>154</v>
      </c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2:15" x14ac:dyDescent="0.25">
      <c r="B37" s="4" t="s">
        <v>15</v>
      </c>
      <c r="C37" s="4" t="s">
        <v>155</v>
      </c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2:15" x14ac:dyDescent="0.25">
      <c r="B38" s="4" t="s">
        <v>18</v>
      </c>
      <c r="C38" s="4" t="s">
        <v>156</v>
      </c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2:15" x14ac:dyDescent="0.25">
      <c r="B39" s="4" t="s">
        <v>19</v>
      </c>
      <c r="C39" s="4" t="s">
        <v>157</v>
      </c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2:15" x14ac:dyDescent="0.25">
      <c r="B40" s="4" t="s">
        <v>27</v>
      </c>
      <c r="C40" s="4" t="s">
        <v>158</v>
      </c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2:15" x14ac:dyDescent="0.25">
      <c r="B41" s="4" t="s">
        <v>130</v>
      </c>
      <c r="C41" s="4" t="s">
        <v>159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2:15" x14ac:dyDescent="0.25">
      <c r="B42" s="4" t="s">
        <v>132</v>
      </c>
      <c r="C42" s="4" t="s">
        <v>160</v>
      </c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2:15" x14ac:dyDescent="0.25">
      <c r="B43" s="4" t="s">
        <v>134</v>
      </c>
      <c r="C43" s="4" t="s">
        <v>161</v>
      </c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2:15" x14ac:dyDescent="0.25">
      <c r="B44" s="4" t="s">
        <v>136</v>
      </c>
      <c r="C44" s="4" t="s">
        <v>162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2:15" x14ac:dyDescent="0.25">
      <c r="B45" s="4" t="s">
        <v>140</v>
      </c>
      <c r="C45" s="4" t="s">
        <v>163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2:15" x14ac:dyDescent="0.25">
      <c r="B46" s="4" t="s">
        <v>141</v>
      </c>
      <c r="C46" s="4" t="s">
        <v>164</v>
      </c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2:15" x14ac:dyDescent="0.25">
      <c r="B47" s="4" t="s">
        <v>142</v>
      </c>
      <c r="C47" s="4" t="s">
        <v>165</v>
      </c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2:15" x14ac:dyDescent="0.25">
      <c r="B48" s="4" t="s">
        <v>144</v>
      </c>
      <c r="C48" s="99" t="s">
        <v>73</v>
      </c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2:15" x14ac:dyDescent="0.25"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2:15" x14ac:dyDescent="0.25">
      <c r="B50" s="99" t="s">
        <v>50</v>
      </c>
      <c r="C50" s="99" t="s">
        <v>166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2:15" x14ac:dyDescent="0.25">
      <c r="B51" s="4" t="s">
        <v>12</v>
      </c>
      <c r="C51" s="4" t="s">
        <v>167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2:15" x14ac:dyDescent="0.25">
      <c r="B52" s="4" t="s">
        <v>15</v>
      </c>
      <c r="C52" s="4" t="s">
        <v>168</v>
      </c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2:15" x14ac:dyDescent="0.25">
      <c r="B53" s="4" t="s">
        <v>18</v>
      </c>
      <c r="C53" s="99" t="s">
        <v>73</v>
      </c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2:15" x14ac:dyDescent="0.25"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2:15" x14ac:dyDescent="0.25">
      <c r="B55" s="99" t="s">
        <v>52</v>
      </c>
      <c r="C55" s="99" t="s">
        <v>169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2:15" x14ac:dyDescent="0.25">
      <c r="B56" s="4" t="s">
        <v>12</v>
      </c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2:15" x14ac:dyDescent="0.25">
      <c r="B57" s="4" t="s">
        <v>15</v>
      </c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2:15" x14ac:dyDescent="0.25">
      <c r="B58" s="4" t="s">
        <v>18</v>
      </c>
      <c r="C58" s="99" t="s">
        <v>73</v>
      </c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2:15" x14ac:dyDescent="0.25"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2:15" x14ac:dyDescent="0.25">
      <c r="B60" s="99" t="s">
        <v>54</v>
      </c>
      <c r="C60" s="99" t="s">
        <v>170</v>
      </c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2:15" x14ac:dyDescent="0.25">
      <c r="B61" s="4" t="s">
        <v>12</v>
      </c>
      <c r="C61" s="4" t="s">
        <v>171</v>
      </c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2:15" x14ac:dyDescent="0.25">
      <c r="B62" s="4" t="s">
        <v>15</v>
      </c>
      <c r="C62" s="4" t="s">
        <v>172</v>
      </c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2:15" x14ac:dyDescent="0.25">
      <c r="B63" s="4" t="s">
        <v>18</v>
      </c>
      <c r="C63" s="4" t="s">
        <v>173</v>
      </c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spans="2:15" x14ac:dyDescent="0.25">
      <c r="B64" s="4" t="s">
        <v>19</v>
      </c>
      <c r="C64" s="99" t="s">
        <v>73</v>
      </c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2:15" x14ac:dyDescent="0.25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2:15" x14ac:dyDescent="0.25">
      <c r="B66" s="99" t="s">
        <v>58</v>
      </c>
      <c r="C66" s="99" t="s">
        <v>174</v>
      </c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2:15" x14ac:dyDescent="0.25">
      <c r="B67" s="4" t="s">
        <v>12</v>
      </c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2:15" x14ac:dyDescent="0.25">
      <c r="B68" s="4" t="s">
        <v>15</v>
      </c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2:15" x14ac:dyDescent="0.25">
      <c r="B69" s="4" t="s">
        <v>18</v>
      </c>
      <c r="C69" s="99" t="s">
        <v>73</v>
      </c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2:15" x14ac:dyDescent="0.25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2:15" x14ac:dyDescent="0.25">
      <c r="B71" s="99" t="s">
        <v>61</v>
      </c>
      <c r="C71" s="99" t="s">
        <v>72</v>
      </c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2:15" x14ac:dyDescent="0.25">
      <c r="B72" s="4" t="s">
        <v>12</v>
      </c>
      <c r="C72" s="4" t="s">
        <v>175</v>
      </c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2:15" x14ac:dyDescent="0.25">
      <c r="B73" s="4" t="s">
        <v>15</v>
      </c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2:15" x14ac:dyDescent="0.25">
      <c r="B74" s="4" t="s">
        <v>18</v>
      </c>
      <c r="C74" s="99" t="s">
        <v>73</v>
      </c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2:15" x14ac:dyDescent="0.25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2:15" x14ac:dyDescent="0.25">
      <c r="B76" s="99" t="s">
        <v>63</v>
      </c>
      <c r="C76" s="99" t="s">
        <v>176</v>
      </c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2:15" x14ac:dyDescent="0.25">
      <c r="B77" s="99"/>
      <c r="C77" s="99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2:15" ht="30" x14ac:dyDescent="0.25">
      <c r="B78" s="99" t="s">
        <v>65</v>
      </c>
      <c r="C78" s="99" t="s">
        <v>177</v>
      </c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2:15" x14ac:dyDescent="0.25">
      <c r="B79" s="4" t="s">
        <v>12</v>
      </c>
      <c r="C79" s="4" t="s">
        <v>178</v>
      </c>
      <c r="D79" s="4">
        <v>705</v>
      </c>
      <c r="E79" s="4"/>
      <c r="F79" s="4"/>
      <c r="G79" s="4"/>
      <c r="H79" s="4"/>
      <c r="I79" s="4"/>
      <c r="J79" s="4"/>
      <c r="K79" s="4"/>
      <c r="L79" s="4">
        <v>106.25</v>
      </c>
      <c r="M79" s="4"/>
      <c r="N79" s="4"/>
      <c r="O79" s="4"/>
    </row>
    <row r="80" spans="2:15" x14ac:dyDescent="0.25">
      <c r="B80" s="4" t="s">
        <v>15</v>
      </c>
      <c r="C80" s="4" t="s">
        <v>179</v>
      </c>
      <c r="D80" s="4">
        <v>840</v>
      </c>
      <c r="E80" s="4"/>
      <c r="F80" s="4"/>
      <c r="G80" s="4"/>
      <c r="H80" s="4"/>
      <c r="I80" s="4"/>
      <c r="J80" s="4"/>
      <c r="K80" s="4"/>
      <c r="L80" s="4">
        <v>106.25</v>
      </c>
      <c r="M80" s="4"/>
      <c r="N80" s="4"/>
      <c r="O80" s="4"/>
    </row>
    <row r="81" spans="2:15" x14ac:dyDescent="0.25">
      <c r="B81" s="4" t="s">
        <v>18</v>
      </c>
      <c r="C81" s="4" t="s">
        <v>180</v>
      </c>
      <c r="D81" s="4">
        <v>135</v>
      </c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2:15" x14ac:dyDescent="0.25">
      <c r="B82" s="4" t="s">
        <v>19</v>
      </c>
      <c r="C82" s="4" t="s">
        <v>181</v>
      </c>
      <c r="D82" s="4">
        <v>270</v>
      </c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2:15" x14ac:dyDescent="0.25">
      <c r="B83" s="4" t="s">
        <v>27</v>
      </c>
      <c r="C83" s="4" t="s">
        <v>182</v>
      </c>
      <c r="D83" s="4">
        <v>330</v>
      </c>
      <c r="E83" s="4"/>
      <c r="F83" s="4"/>
      <c r="G83" s="4"/>
      <c r="H83" s="4"/>
      <c r="I83" s="4"/>
      <c r="J83" s="4"/>
      <c r="K83" s="4"/>
      <c r="L83" s="4">
        <v>85</v>
      </c>
      <c r="M83" s="4"/>
      <c r="N83" s="4"/>
      <c r="O83" s="4"/>
    </row>
    <row r="84" spans="2:15" x14ac:dyDescent="0.25">
      <c r="B84" s="4" t="s">
        <v>130</v>
      </c>
      <c r="C84" s="4" t="s">
        <v>827</v>
      </c>
      <c r="D84" s="4">
        <v>1371.2</v>
      </c>
      <c r="E84" s="4"/>
      <c r="F84" s="4"/>
      <c r="G84" s="4"/>
      <c r="H84" s="4"/>
      <c r="I84" s="4"/>
      <c r="J84" s="4"/>
      <c r="K84" s="4"/>
      <c r="L84" s="4">
        <v>100.1</v>
      </c>
      <c r="M84" s="4"/>
      <c r="N84" s="4"/>
      <c r="O84" s="4"/>
    </row>
    <row r="85" spans="2:15" x14ac:dyDescent="0.25">
      <c r="C85" s="99" t="s">
        <v>183</v>
      </c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2:15" x14ac:dyDescent="0.25">
      <c r="B86" s="4"/>
      <c r="C86" s="99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2:15" x14ac:dyDescent="0.25">
      <c r="B87" s="99" t="s">
        <v>67</v>
      </c>
      <c r="C87" s="99" t="s">
        <v>184</v>
      </c>
      <c r="D87" s="4">
        <f>SUM(D79:D84)</f>
        <v>3651.2</v>
      </c>
      <c r="E87" s="4"/>
      <c r="F87" s="4"/>
      <c r="G87" s="4"/>
      <c r="H87" s="4"/>
      <c r="I87" s="4"/>
      <c r="J87" s="4"/>
      <c r="K87" s="4"/>
      <c r="L87" s="4">
        <f>SUM(L79:L84)</f>
        <v>397.6</v>
      </c>
      <c r="M87" s="4"/>
      <c r="N87" s="4"/>
      <c r="O87" s="4" t="s">
        <v>185</v>
      </c>
    </row>
  </sheetData>
  <customSheetViews>
    <customSheetView guid="{9CE83D47-1940-43F4-9510-4E48915AF617}" topLeftCell="A66">
      <selection activeCell="B15" sqref="B15:I86"/>
      <pageMargins left="0.7" right="0.7" top="0.75" bottom="0.75" header="0.3" footer="0.3"/>
    </customSheetView>
  </customSheetViews>
  <mergeCells count="8">
    <mergeCell ref="I12:J12"/>
    <mergeCell ref="K12:L12"/>
    <mergeCell ref="B10:O10"/>
    <mergeCell ref="B2:F2"/>
    <mergeCell ref="C12:C13"/>
    <mergeCell ref="B12:B13"/>
    <mergeCell ref="E12:F12"/>
    <mergeCell ref="G12:H12"/>
  </mergeCells>
  <pageMargins left="0.7" right="0.7" top="0.75" bottom="0.75" header="0.3" footer="0.3"/>
  <pageSetup paperSize="9" scale="45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7"/>
  <sheetViews>
    <sheetView topLeftCell="B1" workbookViewId="0">
      <selection activeCell="E8" sqref="E8"/>
    </sheetView>
  </sheetViews>
  <sheetFormatPr defaultRowHeight="15" x14ac:dyDescent="0.25"/>
  <cols>
    <col min="1" max="2" width="9.140625" style="96"/>
    <col min="3" max="3" width="38.28515625" style="96" customWidth="1"/>
    <col min="4" max="5" width="13.85546875" style="96" customWidth="1"/>
    <col min="6" max="6" width="9.140625" style="96"/>
    <col min="7" max="7" width="19.7109375" style="96" customWidth="1"/>
    <col min="8" max="16384" width="9.140625" style="96"/>
  </cols>
  <sheetData>
    <row r="2" spans="2:7" ht="19.5" customHeight="1" x14ac:dyDescent="0.25">
      <c r="B2" s="239" t="s">
        <v>687</v>
      </c>
      <c r="C2" s="239"/>
      <c r="D2" s="239"/>
      <c r="E2" s="239"/>
      <c r="F2" s="239"/>
    </row>
    <row r="4" spans="2:7" x14ac:dyDescent="0.25">
      <c r="B4" s="99" t="s">
        <v>100</v>
      </c>
      <c r="C4" s="99" t="s">
        <v>6</v>
      </c>
      <c r="D4" s="99" t="s">
        <v>830</v>
      </c>
      <c r="E4" s="99" t="s">
        <v>726</v>
      </c>
      <c r="F4" s="99" t="s">
        <v>9</v>
      </c>
    </row>
    <row r="5" spans="2:7" x14ac:dyDescent="0.25">
      <c r="B5" s="99">
        <v>1</v>
      </c>
      <c r="C5" s="99">
        <v>2</v>
      </c>
      <c r="D5" s="99">
        <v>3</v>
      </c>
      <c r="E5" s="99">
        <v>4</v>
      </c>
      <c r="F5" s="99">
        <v>5</v>
      </c>
    </row>
    <row r="6" spans="2:7" x14ac:dyDescent="0.25">
      <c r="B6" s="99" t="s">
        <v>10</v>
      </c>
      <c r="C6" s="99" t="s">
        <v>215</v>
      </c>
      <c r="D6" s="4"/>
      <c r="E6" s="4"/>
      <c r="F6" s="4"/>
    </row>
    <row r="7" spans="2:7" x14ac:dyDescent="0.25">
      <c r="B7" s="4" t="s">
        <v>12</v>
      </c>
      <c r="C7" s="4" t="s">
        <v>216</v>
      </c>
      <c r="D7" s="78">
        <f>'Energy Balance'!F9</f>
        <v>22.340304</v>
      </c>
      <c r="E7" s="78">
        <f>'Energy Balance'!G9</f>
        <v>22.340304</v>
      </c>
      <c r="F7" s="123">
        <v>3.3599999999999998E-2</v>
      </c>
    </row>
    <row r="8" spans="2:7" x14ac:dyDescent="0.25">
      <c r="B8" s="4" t="s">
        <v>15</v>
      </c>
      <c r="C8" s="4" t="s">
        <v>217</v>
      </c>
      <c r="D8" s="78">
        <f>'Energy Balance'!F24</f>
        <v>13.751837826830664</v>
      </c>
      <c r="E8" s="78">
        <f>'Energy Balance'!G24</f>
        <v>14.146695316648083</v>
      </c>
      <c r="F8" s="123">
        <v>9.4999999999999998E-3</v>
      </c>
    </row>
    <row r="9" spans="2:7" x14ac:dyDescent="0.25">
      <c r="B9" s="4" t="s">
        <v>18</v>
      </c>
      <c r="C9" s="4" t="s">
        <v>218</v>
      </c>
      <c r="D9" s="78">
        <f>SUM(D7:D8)</f>
        <v>36.092141826830662</v>
      </c>
      <c r="E9" s="78">
        <f>SUM(E7:E8)</f>
        <v>36.486999316648081</v>
      </c>
      <c r="F9" s="4"/>
      <c r="G9" s="116"/>
    </row>
    <row r="10" spans="2:7" x14ac:dyDescent="0.25">
      <c r="B10" s="4"/>
      <c r="C10" s="4"/>
      <c r="D10" s="78"/>
      <c r="E10" s="78"/>
      <c r="F10" s="4"/>
    </row>
    <row r="11" spans="2:7" x14ac:dyDescent="0.25">
      <c r="B11" s="99" t="s">
        <v>21</v>
      </c>
      <c r="C11" s="99" t="s">
        <v>219</v>
      </c>
      <c r="D11" s="78"/>
      <c r="E11" s="78"/>
      <c r="F11" s="4"/>
    </row>
    <row r="12" spans="2:7" x14ac:dyDescent="0.25">
      <c r="B12" s="4" t="s">
        <v>12</v>
      </c>
      <c r="C12" s="4" t="s">
        <v>220</v>
      </c>
      <c r="D12" s="78">
        <v>24.85</v>
      </c>
      <c r="E12" s="78">
        <f>D12*(100%+Assumption!E12)</f>
        <v>26.092500000000001</v>
      </c>
      <c r="F12" s="4"/>
    </row>
    <row r="13" spans="2:7" x14ac:dyDescent="0.25">
      <c r="B13" s="4" t="s">
        <v>15</v>
      </c>
      <c r="C13" s="4" t="s">
        <v>221</v>
      </c>
      <c r="D13" s="78">
        <v>60.33</v>
      </c>
      <c r="E13" s="78">
        <f>D13*(100%+Assumption!E12)</f>
        <v>63.346499999999999</v>
      </c>
      <c r="F13" s="4"/>
    </row>
    <row r="14" spans="2:7" ht="35.25" customHeight="1" x14ac:dyDescent="0.25">
      <c r="B14" s="4" t="s">
        <v>18</v>
      </c>
      <c r="C14" s="4" t="s">
        <v>222</v>
      </c>
      <c r="D14" s="78">
        <f>SUM(D12:D13)</f>
        <v>85.18</v>
      </c>
      <c r="E14" s="78">
        <f>SUM(E12:E13)</f>
        <v>89.438999999999993</v>
      </c>
      <c r="F14" s="4"/>
      <c r="G14" s="96" t="s">
        <v>836</v>
      </c>
    </row>
    <row r="15" spans="2:7" ht="45" x14ac:dyDescent="0.25">
      <c r="D15" s="96" t="s">
        <v>932</v>
      </c>
    </row>
    <row r="16" spans="2:7" x14ac:dyDescent="0.25">
      <c r="C16" s="96" t="s">
        <v>223</v>
      </c>
    </row>
    <row r="17" spans="3:3" x14ac:dyDescent="0.25">
      <c r="C17" s="96" t="s">
        <v>224</v>
      </c>
    </row>
  </sheetData>
  <customSheetViews>
    <customSheetView guid="{9CE83D47-1940-43F4-9510-4E48915AF617}">
      <selection activeCell="A8" sqref="A8"/>
      <pageMargins left="0.7" right="0.7" top="0.75" bottom="0.75" header="0.3" footer="0.3"/>
    </customSheetView>
  </customSheetViews>
  <mergeCells count="1">
    <mergeCell ref="B2:F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1"/>
  <sheetViews>
    <sheetView topLeftCell="E1" workbookViewId="0">
      <selection activeCell="G5" sqref="G5:I5"/>
    </sheetView>
  </sheetViews>
  <sheetFormatPr defaultRowHeight="15" x14ac:dyDescent="0.25"/>
  <cols>
    <col min="1" max="2" width="9.140625" style="101"/>
    <col min="3" max="3" width="29.140625" style="101" customWidth="1"/>
    <col min="4" max="4" width="15.85546875" style="101" customWidth="1"/>
    <col min="5" max="5" width="18" style="101" customWidth="1"/>
    <col min="6" max="6" width="14.28515625" style="101" customWidth="1"/>
    <col min="7" max="7" width="12.85546875" style="101" customWidth="1"/>
    <col min="8" max="8" width="10.140625" style="101" customWidth="1"/>
    <col min="9" max="9" width="9.7109375" style="101" customWidth="1"/>
    <col min="10" max="10" width="17.28515625" style="101" customWidth="1"/>
    <col min="11" max="16384" width="9.140625" style="101"/>
  </cols>
  <sheetData>
    <row r="2" spans="2:9" ht="15" customHeight="1" x14ac:dyDescent="0.25">
      <c r="B2" s="239" t="s">
        <v>689</v>
      </c>
      <c r="C2" s="239"/>
      <c r="D2" s="239"/>
      <c r="E2" s="239"/>
      <c r="F2" s="239"/>
      <c r="G2" s="239"/>
      <c r="H2" s="239"/>
      <c r="I2" s="239"/>
    </row>
    <row r="3" spans="2:9" x14ac:dyDescent="0.25">
      <c r="D3" s="273" t="s">
        <v>830</v>
      </c>
      <c r="E3" s="273"/>
      <c r="F3" s="273"/>
      <c r="G3" s="273" t="s">
        <v>882</v>
      </c>
      <c r="H3" s="273"/>
      <c r="I3" s="273"/>
    </row>
    <row r="4" spans="2:9" ht="30" x14ac:dyDescent="0.25">
      <c r="B4" s="99" t="s">
        <v>100</v>
      </c>
      <c r="C4" s="99" t="s">
        <v>6</v>
      </c>
      <c r="D4" s="99" t="s">
        <v>225</v>
      </c>
      <c r="E4" s="99" t="s">
        <v>226</v>
      </c>
      <c r="F4" s="99" t="s">
        <v>227</v>
      </c>
      <c r="G4" s="99" t="s">
        <v>225</v>
      </c>
      <c r="H4" s="99" t="s">
        <v>226</v>
      </c>
      <c r="I4" s="99" t="s">
        <v>227</v>
      </c>
    </row>
    <row r="5" spans="2:9" x14ac:dyDescent="0.25">
      <c r="B5" s="99">
        <v>1</v>
      </c>
      <c r="C5" s="99">
        <v>2</v>
      </c>
      <c r="D5" s="99">
        <v>3</v>
      </c>
      <c r="E5" s="99">
        <v>4</v>
      </c>
      <c r="F5" s="99" t="s">
        <v>199</v>
      </c>
      <c r="G5" s="99">
        <v>6</v>
      </c>
      <c r="H5" s="99">
        <v>7</v>
      </c>
      <c r="I5" s="99" t="s">
        <v>1018</v>
      </c>
    </row>
    <row r="6" spans="2:9" x14ac:dyDescent="0.25">
      <c r="B6" s="98" t="s">
        <v>10</v>
      </c>
      <c r="C6" s="98" t="s">
        <v>200</v>
      </c>
      <c r="D6" s="265">
        <f>'Energy Balance'!F27</f>
        <v>478.26481949150906</v>
      </c>
      <c r="E6" s="268">
        <f>Assumption!D13</f>
        <v>4</v>
      </c>
      <c r="F6" s="268">
        <f>E6*D6/10</f>
        <v>191.30592779660361</v>
      </c>
      <c r="G6" s="268">
        <f>'Energy Balance'!G27</f>
        <v>426.11587319493856</v>
      </c>
      <c r="H6" s="268">
        <f>Assumption!E13</f>
        <v>4.2</v>
      </c>
      <c r="I6" s="268">
        <f>G6*H6/10</f>
        <v>178.96866674187419</v>
      </c>
    </row>
    <row r="7" spans="2:9" x14ac:dyDescent="0.25">
      <c r="B7" s="98" t="s">
        <v>21</v>
      </c>
      <c r="C7" s="98" t="s">
        <v>201</v>
      </c>
      <c r="D7" s="266"/>
      <c r="E7" s="269"/>
      <c r="F7" s="269"/>
      <c r="G7" s="271"/>
      <c r="H7" s="269"/>
      <c r="I7" s="269"/>
    </row>
    <row r="8" spans="2:9" x14ac:dyDescent="0.25">
      <c r="B8" s="98" t="s">
        <v>30</v>
      </c>
      <c r="C8" s="98" t="s">
        <v>202</v>
      </c>
      <c r="D8" s="266"/>
      <c r="E8" s="269"/>
      <c r="F8" s="269"/>
      <c r="G8" s="271"/>
      <c r="H8" s="269"/>
      <c r="I8" s="269"/>
    </row>
    <row r="9" spans="2:9" x14ac:dyDescent="0.25">
      <c r="B9" s="98" t="s">
        <v>50</v>
      </c>
      <c r="C9" s="98" t="s">
        <v>203</v>
      </c>
      <c r="D9" s="266"/>
      <c r="E9" s="269"/>
      <c r="F9" s="269"/>
      <c r="G9" s="271"/>
      <c r="H9" s="269"/>
      <c r="I9" s="269"/>
    </row>
    <row r="10" spans="2:9" x14ac:dyDescent="0.25">
      <c r="B10" s="98" t="s">
        <v>52</v>
      </c>
      <c r="C10" s="98" t="s">
        <v>204</v>
      </c>
      <c r="D10" s="267"/>
      <c r="E10" s="270"/>
      <c r="F10" s="270"/>
      <c r="G10" s="272"/>
      <c r="H10" s="270"/>
      <c r="I10" s="270"/>
    </row>
    <row r="11" spans="2:9" x14ac:dyDescent="0.25">
      <c r="B11" s="98"/>
      <c r="C11" s="36" t="s">
        <v>73</v>
      </c>
      <c r="D11" s="36">
        <f>SUM(D6)</f>
        <v>478.26481949150906</v>
      </c>
      <c r="E11" s="36">
        <f>E6</f>
        <v>4</v>
      </c>
      <c r="F11" s="36">
        <f>SUM(F6)</f>
        <v>191.30592779660361</v>
      </c>
      <c r="G11" s="36">
        <f>SUM(G6)</f>
        <v>426.11587319493856</v>
      </c>
      <c r="H11" s="36">
        <f>H6</f>
        <v>4.2</v>
      </c>
      <c r="I11" s="36">
        <f>SUM(I6)</f>
        <v>178.96866674187419</v>
      </c>
    </row>
  </sheetData>
  <customSheetViews>
    <customSheetView guid="{9CE83D47-1940-43F4-9510-4E48915AF617}">
      <selection activeCell="E14" sqref="E14"/>
      <pageMargins left="0.7" right="0.7" top="0.75" bottom="0.75" header="0.3" footer="0.3"/>
    </customSheetView>
  </customSheetViews>
  <mergeCells count="9">
    <mergeCell ref="B2:I2"/>
    <mergeCell ref="D6:D10"/>
    <mergeCell ref="E6:E10"/>
    <mergeCell ref="F6:F10"/>
    <mergeCell ref="G6:G10"/>
    <mergeCell ref="H6:H10"/>
    <mergeCell ref="I6:I10"/>
    <mergeCell ref="D3:F3"/>
    <mergeCell ref="G3:I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4"/>
  <sheetViews>
    <sheetView topLeftCell="B1" workbookViewId="0">
      <selection activeCell="D19" sqref="D19"/>
    </sheetView>
  </sheetViews>
  <sheetFormatPr defaultRowHeight="15" x14ac:dyDescent="0.25"/>
  <cols>
    <col min="1" max="2" width="9.140625" style="96"/>
    <col min="3" max="3" width="27" style="96" customWidth="1"/>
    <col min="4" max="4" width="21.7109375" style="96" customWidth="1"/>
    <col min="5" max="5" width="18.7109375" style="96" customWidth="1"/>
    <col min="6" max="6" width="15.28515625" style="96" customWidth="1"/>
    <col min="7" max="7" width="11.5703125" style="96" bestFit="1" customWidth="1"/>
    <col min="8" max="16384" width="9.140625" style="96"/>
  </cols>
  <sheetData>
    <row r="2" spans="2:6" x14ac:dyDescent="0.25">
      <c r="B2" s="239" t="s">
        <v>834</v>
      </c>
      <c r="C2" s="239"/>
      <c r="D2" s="239"/>
      <c r="E2" s="239"/>
    </row>
    <row r="3" spans="2:6" x14ac:dyDescent="0.25">
      <c r="D3" s="96" t="s">
        <v>882</v>
      </c>
      <c r="F3" s="96" t="s">
        <v>830</v>
      </c>
    </row>
    <row r="4" spans="2:6" ht="30" x14ac:dyDescent="0.25">
      <c r="B4" s="133" t="s">
        <v>100</v>
      </c>
      <c r="C4" s="133" t="s">
        <v>6</v>
      </c>
      <c r="D4" s="133" t="s">
        <v>228</v>
      </c>
      <c r="E4" s="133" t="s">
        <v>9</v>
      </c>
      <c r="F4" s="164" t="s">
        <v>228</v>
      </c>
    </row>
    <row r="5" spans="2:6" x14ac:dyDescent="0.25">
      <c r="B5" s="133">
        <v>1</v>
      </c>
      <c r="C5" s="133">
        <v>2</v>
      </c>
      <c r="D5" s="133">
        <v>3</v>
      </c>
      <c r="E5" s="133">
        <v>4</v>
      </c>
      <c r="F5" s="4"/>
    </row>
    <row r="6" spans="2:6" x14ac:dyDescent="0.25">
      <c r="B6" s="133" t="s">
        <v>10</v>
      </c>
      <c r="C6" s="133" t="s">
        <v>229</v>
      </c>
      <c r="D6" s="4"/>
      <c r="E6" s="4"/>
      <c r="F6" s="4"/>
    </row>
    <row r="7" spans="2:6" x14ac:dyDescent="0.25">
      <c r="B7" s="4" t="s">
        <v>12</v>
      </c>
      <c r="C7" s="4" t="s">
        <v>230</v>
      </c>
      <c r="D7" s="78">
        <f>'Power Purchase Cost 2015-16'!H81/0.98</f>
        <v>971.65903834246171</v>
      </c>
      <c r="E7" s="4"/>
      <c r="F7" s="78">
        <f>'Power Purchase Cost 2015-16'!E81/0.98</f>
        <v>971.41089548531886</v>
      </c>
    </row>
    <row r="8" spans="2:6" x14ac:dyDescent="0.25">
      <c r="B8" s="4" t="s">
        <v>15</v>
      </c>
      <c r="C8" s="4" t="s">
        <v>231</v>
      </c>
      <c r="D8" s="125">
        <v>0.02</v>
      </c>
      <c r="E8" s="4"/>
      <c r="F8" s="125">
        <f>D8</f>
        <v>0.02</v>
      </c>
    </row>
    <row r="9" spans="2:6" x14ac:dyDescent="0.25">
      <c r="B9" s="4" t="s">
        <v>18</v>
      </c>
      <c r="C9" s="4" t="s">
        <v>232</v>
      </c>
      <c r="D9" s="78">
        <f>D7-D7*0.02</f>
        <v>952.22585757561251</v>
      </c>
      <c r="E9" s="4"/>
      <c r="F9" s="78">
        <f>F7-F7*0.02</f>
        <v>951.98267757561246</v>
      </c>
    </row>
    <row r="10" spans="2:6" x14ac:dyDescent="0.25">
      <c r="B10" s="4"/>
      <c r="C10" s="4"/>
      <c r="D10" s="4"/>
      <c r="E10" s="4"/>
      <c r="F10" s="4"/>
    </row>
    <row r="11" spans="2:6" x14ac:dyDescent="0.25">
      <c r="B11" s="133" t="s">
        <v>21</v>
      </c>
      <c r="C11" s="133" t="s">
        <v>233</v>
      </c>
      <c r="D11" s="4"/>
      <c r="E11" s="4"/>
      <c r="F11" s="4"/>
    </row>
    <row r="12" spans="2:6" x14ac:dyDescent="0.25">
      <c r="B12" s="4" t="s">
        <v>12</v>
      </c>
      <c r="C12" s="4" t="s">
        <v>234</v>
      </c>
      <c r="D12" s="78">
        <f>'Transmission Loss'!E14/0.98</f>
        <v>91.264285714285705</v>
      </c>
      <c r="E12" s="4"/>
      <c r="F12" s="78">
        <f>'Transmission Loss'!D14/0.98</f>
        <v>86.91836734693878</v>
      </c>
    </row>
    <row r="13" spans="2:6" x14ac:dyDescent="0.25">
      <c r="B13" s="4" t="s">
        <v>15</v>
      </c>
      <c r="C13" s="4" t="s">
        <v>231</v>
      </c>
      <c r="D13" s="68">
        <v>0.02</v>
      </c>
      <c r="E13" s="4"/>
      <c r="F13" s="125">
        <f>D13</f>
        <v>0.02</v>
      </c>
    </row>
    <row r="14" spans="2:6" x14ac:dyDescent="0.25">
      <c r="B14" s="4" t="s">
        <v>18</v>
      </c>
      <c r="C14" s="4" t="s">
        <v>235</v>
      </c>
      <c r="D14" s="78">
        <f>D12-D12*0.02</f>
        <v>89.438999999999993</v>
      </c>
      <c r="E14" s="4"/>
      <c r="F14" s="78">
        <f>F12-F12*0.02</f>
        <v>85.18</v>
      </c>
    </row>
  </sheetData>
  <customSheetViews>
    <customSheetView guid="{9CE83D47-1940-43F4-9510-4E48915AF617}">
      <selection activeCell="C17" sqref="C17"/>
      <pageMargins left="0.7" right="0.7" top="0.75" bottom="0.75" header="0.3" footer="0.3"/>
    </customSheetView>
  </customSheetViews>
  <mergeCells count="1">
    <mergeCell ref="B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31"/>
  <sheetViews>
    <sheetView workbookViewId="0"/>
  </sheetViews>
  <sheetFormatPr defaultRowHeight="15" x14ac:dyDescent="0.25"/>
  <cols>
    <col min="1" max="2" width="9.140625" style="119"/>
    <col min="3" max="3" width="30.28515625" style="119" customWidth="1"/>
    <col min="4" max="4" width="25.85546875" style="119" customWidth="1"/>
    <col min="5" max="5" width="27" style="119" customWidth="1"/>
    <col min="6" max="6" width="33.140625" style="119" customWidth="1"/>
    <col min="7" max="7" width="42.42578125" style="119" customWidth="1"/>
    <col min="8" max="16384" width="9.140625" style="119"/>
  </cols>
  <sheetData>
    <row r="2" spans="2:6" x14ac:dyDescent="0.25">
      <c r="B2" s="238" t="s">
        <v>892</v>
      </c>
      <c r="C2" s="238"/>
      <c r="D2" s="238"/>
      <c r="E2" s="238"/>
    </row>
    <row r="4" spans="2:6" x14ac:dyDescent="0.25">
      <c r="B4" s="150" t="s">
        <v>100</v>
      </c>
      <c r="C4" s="150" t="s">
        <v>891</v>
      </c>
      <c r="D4" s="237" t="s">
        <v>896</v>
      </c>
      <c r="E4" s="237"/>
    </row>
    <row r="5" spans="2:6" x14ac:dyDescent="0.25">
      <c r="B5" s="118"/>
      <c r="C5" s="118"/>
      <c r="D5" s="188" t="s">
        <v>830</v>
      </c>
      <c r="E5" s="188" t="s">
        <v>882</v>
      </c>
    </row>
    <row r="6" spans="2:6" x14ac:dyDescent="0.25">
      <c r="B6" s="118"/>
      <c r="C6" s="118"/>
      <c r="D6" s="118"/>
      <c r="E6" s="118"/>
    </row>
    <row r="7" spans="2:6" x14ac:dyDescent="0.25">
      <c r="B7" s="118">
        <v>1</v>
      </c>
      <c r="C7" s="118" t="s">
        <v>23</v>
      </c>
      <c r="D7" s="118" t="s">
        <v>895</v>
      </c>
      <c r="E7" s="118" t="s">
        <v>80</v>
      </c>
    </row>
    <row r="8" spans="2:6" x14ac:dyDescent="0.25">
      <c r="B8" s="118">
        <v>2</v>
      </c>
      <c r="C8" s="118" t="s">
        <v>492</v>
      </c>
      <c r="D8" s="118" t="s">
        <v>898</v>
      </c>
      <c r="E8" s="118" t="s">
        <v>899</v>
      </c>
    </row>
    <row r="9" spans="2:6" x14ac:dyDescent="0.25">
      <c r="B9" s="118">
        <v>3</v>
      </c>
      <c r="C9" s="118" t="s">
        <v>889</v>
      </c>
      <c r="D9" s="156" t="s">
        <v>897</v>
      </c>
      <c r="E9" s="156">
        <v>0.25</v>
      </c>
    </row>
    <row r="10" spans="2:6" x14ac:dyDescent="0.25">
      <c r="B10" s="118">
        <v>4</v>
      </c>
      <c r="C10" s="118" t="s">
        <v>902</v>
      </c>
      <c r="D10" s="118">
        <v>7.72</v>
      </c>
      <c r="E10" s="118">
        <v>7.72</v>
      </c>
    </row>
    <row r="11" spans="2:6" x14ac:dyDescent="0.25">
      <c r="B11" s="118">
        <v>5</v>
      </c>
      <c r="C11" s="118" t="s">
        <v>903</v>
      </c>
      <c r="D11" s="118">
        <v>9.8800000000000008</v>
      </c>
      <c r="E11" s="118">
        <v>9.8800000000000008</v>
      </c>
    </row>
    <row r="12" spans="2:6" x14ac:dyDescent="0.25">
      <c r="B12" s="118">
        <v>6</v>
      </c>
      <c r="C12" s="118" t="s">
        <v>904</v>
      </c>
      <c r="D12" s="118" t="s">
        <v>897</v>
      </c>
      <c r="E12" s="156">
        <v>0.05</v>
      </c>
    </row>
    <row r="13" spans="2:6" x14ac:dyDescent="0.25">
      <c r="B13" s="118">
        <v>7</v>
      </c>
      <c r="C13" s="118" t="s">
        <v>971</v>
      </c>
      <c r="D13" s="148">
        <v>4</v>
      </c>
      <c r="E13" s="148">
        <f>D13*(100%+5%)</f>
        <v>4.2</v>
      </c>
      <c r="F13" s="157" t="s">
        <v>933</v>
      </c>
    </row>
    <row r="14" spans="2:6" x14ac:dyDescent="0.25">
      <c r="B14" s="147">
        <v>8</v>
      </c>
      <c r="C14" s="147" t="s">
        <v>905</v>
      </c>
      <c r="D14" s="147" t="s">
        <v>897</v>
      </c>
      <c r="E14" s="182">
        <v>0.1</v>
      </c>
      <c r="F14" s="157"/>
    </row>
    <row r="15" spans="2:6" x14ac:dyDescent="0.25">
      <c r="B15" s="147">
        <v>9</v>
      </c>
      <c r="C15" s="147" t="s">
        <v>906</v>
      </c>
      <c r="D15" s="147">
        <f>'T8'!D8</f>
        <v>151.13999999999999</v>
      </c>
      <c r="E15" s="65">
        <f>D15</f>
        <v>151.13999999999999</v>
      </c>
      <c r="F15" s="157" t="s">
        <v>966</v>
      </c>
    </row>
    <row r="16" spans="2:6" x14ac:dyDescent="0.25">
      <c r="B16" s="147">
        <v>10</v>
      </c>
      <c r="C16" s="147" t="s">
        <v>930</v>
      </c>
      <c r="D16" s="147">
        <v>1.26</v>
      </c>
      <c r="E16" s="148">
        <f>D16*(100%+E9)</f>
        <v>1.575</v>
      </c>
      <c r="F16" s="157"/>
    </row>
    <row r="17" spans="2:7" x14ac:dyDescent="0.25">
      <c r="B17" s="147">
        <v>11</v>
      </c>
      <c r="C17" s="147" t="s">
        <v>931</v>
      </c>
      <c r="D17" s="147">
        <v>23.25</v>
      </c>
      <c r="E17" s="147">
        <f>D17</f>
        <v>23.25</v>
      </c>
      <c r="F17" s="157"/>
    </row>
    <row r="18" spans="2:7" x14ac:dyDescent="0.25">
      <c r="B18" s="59">
        <v>12</v>
      </c>
      <c r="C18" s="59" t="s">
        <v>101</v>
      </c>
      <c r="D18" s="183">
        <f>'Energy Balance'!E19</f>
        <v>8.3088783989555243E-2</v>
      </c>
      <c r="E18" s="185">
        <f>D18</f>
        <v>8.3088783989555243E-2</v>
      </c>
      <c r="F18" s="157"/>
    </row>
    <row r="19" spans="2:7" x14ac:dyDescent="0.25">
      <c r="B19" s="59">
        <v>13</v>
      </c>
      <c r="C19" s="59" t="s">
        <v>102</v>
      </c>
      <c r="D19" s="184">
        <v>1</v>
      </c>
      <c r="E19" s="185">
        <f t="shared" ref="E19:E20" si="0">D19</f>
        <v>1</v>
      </c>
      <c r="F19" s="157"/>
    </row>
    <row r="20" spans="2:7" x14ac:dyDescent="0.25">
      <c r="B20" s="59">
        <v>14</v>
      </c>
      <c r="C20" s="59" t="s">
        <v>103</v>
      </c>
      <c r="D20" s="183">
        <f>D18</f>
        <v>8.3088783989555243E-2</v>
      </c>
      <c r="E20" s="185">
        <f t="shared" si="0"/>
        <v>8.3088783989555243E-2</v>
      </c>
      <c r="F20" s="157"/>
    </row>
    <row r="21" spans="2:7" ht="30" x14ac:dyDescent="0.25">
      <c r="B21" s="147">
        <f>B20+1</f>
        <v>15</v>
      </c>
      <c r="C21" s="15" t="s">
        <v>936</v>
      </c>
      <c r="D21" s="147">
        <v>10</v>
      </c>
      <c r="E21" s="147">
        <f>D21</f>
        <v>10</v>
      </c>
      <c r="F21" s="157" t="s">
        <v>935</v>
      </c>
    </row>
    <row r="22" spans="2:7" ht="30" x14ac:dyDescent="0.25">
      <c r="B22" s="147">
        <f t="shared" ref="B22:B31" si="1">B21+1</f>
        <v>16</v>
      </c>
      <c r="C22" s="15" t="s">
        <v>937</v>
      </c>
      <c r="D22" s="147">
        <v>35.369999999999997</v>
      </c>
      <c r="E22" s="148">
        <f>D22</f>
        <v>35.369999999999997</v>
      </c>
      <c r="F22" s="157" t="s">
        <v>935</v>
      </c>
    </row>
    <row r="23" spans="2:7" x14ac:dyDescent="0.25">
      <c r="B23" s="147">
        <f t="shared" si="1"/>
        <v>17</v>
      </c>
      <c r="C23" s="15" t="s">
        <v>938</v>
      </c>
      <c r="D23" s="147">
        <v>11.43</v>
      </c>
      <c r="E23" s="148">
        <f>D23*1.05</f>
        <v>12.0015</v>
      </c>
      <c r="F23" s="157" t="s">
        <v>935</v>
      </c>
    </row>
    <row r="24" spans="2:7" x14ac:dyDescent="0.25">
      <c r="B24" s="147">
        <f t="shared" si="1"/>
        <v>18</v>
      </c>
      <c r="C24" s="147" t="s">
        <v>939</v>
      </c>
      <c r="D24" s="147">
        <v>14.56</v>
      </c>
      <c r="E24" s="148">
        <f>D24*1.05</f>
        <v>15.288000000000002</v>
      </c>
      <c r="F24" s="157" t="s">
        <v>935</v>
      </c>
    </row>
    <row r="25" spans="2:7" x14ac:dyDescent="0.25">
      <c r="B25" s="147">
        <f t="shared" si="1"/>
        <v>19</v>
      </c>
      <c r="C25" s="118" t="s">
        <v>972</v>
      </c>
      <c r="D25" s="149">
        <v>3.3599999999999998E-2</v>
      </c>
      <c r="E25" s="149">
        <f>D25</f>
        <v>3.3599999999999998E-2</v>
      </c>
    </row>
    <row r="26" spans="2:7" x14ac:dyDescent="0.25">
      <c r="B26" s="147">
        <f t="shared" si="1"/>
        <v>20</v>
      </c>
      <c r="C26" s="118" t="s">
        <v>973</v>
      </c>
      <c r="D26" s="149">
        <v>9.4999999999999998E-3</v>
      </c>
      <c r="E26" s="149">
        <v>9.4999999999999998E-3</v>
      </c>
    </row>
    <row r="27" spans="2:7" x14ac:dyDescent="0.25">
      <c r="B27" s="147">
        <f t="shared" si="1"/>
        <v>21</v>
      </c>
      <c r="C27" s="118" t="s">
        <v>975</v>
      </c>
      <c r="D27" s="118">
        <v>-148.87</v>
      </c>
      <c r="E27" s="118"/>
      <c r="F27" s="119" t="s">
        <v>974</v>
      </c>
      <c r="G27" s="119" t="s">
        <v>976</v>
      </c>
    </row>
    <row r="28" spans="2:7" x14ac:dyDescent="0.25">
      <c r="B28" s="147">
        <f t="shared" si="1"/>
        <v>22</v>
      </c>
      <c r="C28" s="118" t="s">
        <v>978</v>
      </c>
      <c r="D28" s="118">
        <v>1015.58</v>
      </c>
      <c r="E28" s="118"/>
      <c r="F28" s="119" t="s">
        <v>977</v>
      </c>
    </row>
    <row r="29" spans="2:7" x14ac:dyDescent="0.25">
      <c r="B29" s="147">
        <f t="shared" si="1"/>
        <v>23</v>
      </c>
      <c r="C29" s="118" t="s">
        <v>979</v>
      </c>
      <c r="D29" s="98">
        <v>866.09</v>
      </c>
      <c r="E29" s="118"/>
      <c r="F29" s="119" t="s">
        <v>977</v>
      </c>
    </row>
    <row r="30" spans="2:7" x14ac:dyDescent="0.25">
      <c r="B30" s="147">
        <f t="shared" si="1"/>
        <v>24</v>
      </c>
      <c r="C30" s="118" t="s">
        <v>391</v>
      </c>
      <c r="D30" s="149">
        <v>0.115</v>
      </c>
      <c r="E30" s="149">
        <f>D30</f>
        <v>0.115</v>
      </c>
    </row>
    <row r="31" spans="2:7" ht="30" x14ac:dyDescent="0.25">
      <c r="B31" s="15">
        <f t="shared" si="1"/>
        <v>25</v>
      </c>
      <c r="C31" s="98" t="s">
        <v>990</v>
      </c>
      <c r="D31" s="50">
        <v>0.01</v>
      </c>
      <c r="E31" s="98" t="s">
        <v>899</v>
      </c>
    </row>
  </sheetData>
  <mergeCells count="2">
    <mergeCell ref="D4:E4"/>
    <mergeCell ref="B2:E2"/>
  </mergeCells>
  <pageMargins left="0.7" right="0.7" top="0.75" bottom="0.75" header="0.3" footer="0.3"/>
  <pageSetup paperSize="9" scale="94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78"/>
  <sheetViews>
    <sheetView topLeftCell="A72" workbookViewId="0">
      <selection activeCell="E95" sqref="E95"/>
    </sheetView>
  </sheetViews>
  <sheetFormatPr defaultRowHeight="15" x14ac:dyDescent="0.25"/>
  <cols>
    <col min="1" max="2" width="9.140625" style="119"/>
    <col min="3" max="3" width="20" style="119" customWidth="1"/>
    <col min="4" max="5" width="16.7109375" style="119" customWidth="1"/>
    <col min="6" max="6" width="19.140625" style="119" customWidth="1"/>
    <col min="7" max="16384" width="9.140625" style="119"/>
  </cols>
  <sheetData>
    <row r="2" spans="2:6" x14ac:dyDescent="0.25">
      <c r="B2" s="256" t="s">
        <v>693</v>
      </c>
      <c r="C2" s="256"/>
      <c r="D2" s="256"/>
      <c r="E2" s="256"/>
      <c r="F2" s="256"/>
    </row>
    <row r="4" spans="2:6" ht="30" x14ac:dyDescent="0.25">
      <c r="B4" s="244" t="s">
        <v>100</v>
      </c>
      <c r="C4" s="244" t="s">
        <v>109</v>
      </c>
      <c r="D4" s="99" t="s">
        <v>253</v>
      </c>
      <c r="E4" s="99" t="s">
        <v>192</v>
      </c>
      <c r="F4" s="99" t="s">
        <v>197</v>
      </c>
    </row>
    <row r="5" spans="2:6" x14ac:dyDescent="0.25">
      <c r="B5" s="244"/>
      <c r="C5" s="244"/>
      <c r="D5" s="99" t="s">
        <v>14</v>
      </c>
      <c r="E5" s="99" t="s">
        <v>193</v>
      </c>
      <c r="F5" s="99" t="s">
        <v>189</v>
      </c>
    </row>
    <row r="6" spans="2:6" x14ac:dyDescent="0.25">
      <c r="B6" s="99">
        <v>1</v>
      </c>
      <c r="C6" s="99">
        <v>2</v>
      </c>
      <c r="D6" s="99">
        <v>3</v>
      </c>
      <c r="E6" s="99">
        <v>4</v>
      </c>
      <c r="F6" s="99">
        <v>5</v>
      </c>
    </row>
    <row r="7" spans="2:6" ht="45" x14ac:dyDescent="0.25">
      <c r="B7" s="99" t="s">
        <v>10</v>
      </c>
      <c r="C7" s="99" t="s">
        <v>123</v>
      </c>
      <c r="D7" s="98"/>
      <c r="E7" s="98"/>
      <c r="F7" s="98"/>
    </row>
    <row r="8" spans="2:6" x14ac:dyDescent="0.25">
      <c r="B8" s="99" t="s">
        <v>21</v>
      </c>
      <c r="C8" s="99" t="s">
        <v>124</v>
      </c>
      <c r="D8" s="98"/>
      <c r="E8" s="98"/>
      <c r="F8" s="98"/>
    </row>
    <row r="9" spans="2:6" x14ac:dyDescent="0.25">
      <c r="B9" s="98" t="s">
        <v>12</v>
      </c>
      <c r="C9" s="98" t="s">
        <v>125</v>
      </c>
      <c r="D9" s="98"/>
      <c r="E9" s="98"/>
      <c r="F9" s="98"/>
    </row>
    <row r="10" spans="2:6" x14ac:dyDescent="0.25">
      <c r="B10" s="98" t="s">
        <v>15</v>
      </c>
      <c r="C10" s="98" t="s">
        <v>126</v>
      </c>
      <c r="D10" s="98"/>
      <c r="E10" s="98"/>
      <c r="F10" s="98"/>
    </row>
    <row r="11" spans="2:6" x14ac:dyDescent="0.25">
      <c r="B11" s="98" t="s">
        <v>18</v>
      </c>
      <c r="C11" s="98" t="s">
        <v>127</v>
      </c>
      <c r="D11" s="98"/>
      <c r="E11" s="98"/>
      <c r="F11" s="98"/>
    </row>
    <row r="12" spans="2:6" x14ac:dyDescent="0.25">
      <c r="B12" s="98" t="s">
        <v>19</v>
      </c>
      <c r="C12" s="98" t="s">
        <v>128</v>
      </c>
      <c r="D12" s="98"/>
      <c r="E12" s="98"/>
      <c r="F12" s="98"/>
    </row>
    <row r="13" spans="2:6" x14ac:dyDescent="0.25">
      <c r="B13" s="98" t="s">
        <v>27</v>
      </c>
      <c r="C13" s="98" t="s">
        <v>129</v>
      </c>
      <c r="D13" s="98"/>
      <c r="E13" s="98"/>
      <c r="F13" s="98"/>
    </row>
    <row r="14" spans="2:6" x14ac:dyDescent="0.25">
      <c r="B14" s="98" t="s">
        <v>130</v>
      </c>
      <c r="C14" s="98" t="s">
        <v>131</v>
      </c>
      <c r="D14" s="98"/>
      <c r="E14" s="98"/>
      <c r="F14" s="98"/>
    </row>
    <row r="15" spans="2:6" x14ac:dyDescent="0.25">
      <c r="B15" s="98" t="s">
        <v>132</v>
      </c>
      <c r="C15" s="98" t="s">
        <v>133</v>
      </c>
      <c r="D15" s="98"/>
      <c r="E15" s="98"/>
      <c r="F15" s="98"/>
    </row>
    <row r="16" spans="2:6" x14ac:dyDescent="0.25">
      <c r="B16" s="98" t="s">
        <v>134</v>
      </c>
      <c r="C16" s="98" t="s">
        <v>135</v>
      </c>
      <c r="D16" s="98"/>
      <c r="E16" s="98"/>
      <c r="F16" s="98"/>
    </row>
    <row r="17" spans="2:6" x14ac:dyDescent="0.25">
      <c r="B17" s="98" t="s">
        <v>136</v>
      </c>
      <c r="C17" s="98" t="s">
        <v>137</v>
      </c>
      <c r="D17" s="98"/>
      <c r="E17" s="98"/>
      <c r="F17" s="98"/>
    </row>
    <row r="18" spans="2:6" x14ac:dyDescent="0.25">
      <c r="B18" s="98" t="s">
        <v>140</v>
      </c>
      <c r="C18" s="98" t="s">
        <v>138</v>
      </c>
      <c r="D18" s="98"/>
      <c r="E18" s="98"/>
      <c r="F18" s="98"/>
    </row>
    <row r="19" spans="2:6" x14ac:dyDescent="0.25">
      <c r="B19" s="98" t="s">
        <v>141</v>
      </c>
      <c r="C19" s="98" t="s">
        <v>139</v>
      </c>
      <c r="D19" s="98"/>
      <c r="E19" s="98"/>
      <c r="F19" s="98"/>
    </row>
    <row r="20" spans="2:6" x14ac:dyDescent="0.25">
      <c r="B20" s="98" t="s">
        <v>142</v>
      </c>
      <c r="C20" s="98" t="s">
        <v>143</v>
      </c>
      <c r="D20" s="98"/>
      <c r="E20" s="98"/>
      <c r="F20" s="98"/>
    </row>
    <row r="21" spans="2:6" x14ac:dyDescent="0.25">
      <c r="B21" s="98" t="s">
        <v>144</v>
      </c>
      <c r="C21" s="98" t="s">
        <v>147</v>
      </c>
      <c r="D21" s="98"/>
      <c r="E21" s="98"/>
      <c r="F21" s="98"/>
    </row>
    <row r="22" spans="2:6" x14ac:dyDescent="0.25">
      <c r="B22" s="98" t="s">
        <v>145</v>
      </c>
      <c r="C22" s="98" t="s">
        <v>148</v>
      </c>
      <c r="D22" s="98"/>
      <c r="E22" s="98"/>
      <c r="F22" s="98"/>
    </row>
    <row r="23" spans="2:6" x14ac:dyDescent="0.25">
      <c r="B23" s="98" t="s">
        <v>146</v>
      </c>
      <c r="C23" s="98" t="s">
        <v>149</v>
      </c>
      <c r="D23" s="98"/>
      <c r="E23" s="98"/>
      <c r="F23" s="98"/>
    </row>
    <row r="24" spans="2:6" x14ac:dyDescent="0.25">
      <c r="B24" s="98" t="s">
        <v>150</v>
      </c>
      <c r="C24" s="98" t="s">
        <v>151</v>
      </c>
      <c r="D24" s="98"/>
      <c r="E24" s="98"/>
      <c r="F24" s="98"/>
    </row>
    <row r="25" spans="2:6" x14ac:dyDescent="0.25">
      <c r="B25" s="98" t="s">
        <v>152</v>
      </c>
      <c r="C25" s="99" t="s">
        <v>73</v>
      </c>
      <c r="D25" s="98"/>
      <c r="E25" s="98"/>
      <c r="F25" s="98"/>
    </row>
    <row r="26" spans="2:6" x14ac:dyDescent="0.25">
      <c r="B26" s="98"/>
      <c r="C26" s="98"/>
      <c r="D26" s="98"/>
      <c r="E26" s="98"/>
      <c r="F26" s="98"/>
    </row>
    <row r="27" spans="2:6" x14ac:dyDescent="0.25">
      <c r="B27" s="99" t="s">
        <v>30</v>
      </c>
      <c r="C27" s="99" t="s">
        <v>153</v>
      </c>
      <c r="D27" s="98"/>
      <c r="E27" s="98"/>
      <c r="F27" s="98"/>
    </row>
    <row r="28" spans="2:6" x14ac:dyDescent="0.25">
      <c r="B28" s="98" t="s">
        <v>12</v>
      </c>
      <c r="C28" s="98" t="s">
        <v>154</v>
      </c>
      <c r="D28" s="98"/>
      <c r="E28" s="98"/>
      <c r="F28" s="98"/>
    </row>
    <row r="29" spans="2:6" x14ac:dyDescent="0.25">
      <c r="B29" s="98" t="s">
        <v>15</v>
      </c>
      <c r="C29" s="98" t="s">
        <v>155</v>
      </c>
      <c r="D29" s="98"/>
      <c r="E29" s="98"/>
      <c r="F29" s="98"/>
    </row>
    <row r="30" spans="2:6" x14ac:dyDescent="0.25">
      <c r="B30" s="98" t="s">
        <v>18</v>
      </c>
      <c r="C30" s="98" t="s">
        <v>156</v>
      </c>
      <c r="D30" s="98"/>
      <c r="E30" s="98"/>
      <c r="F30" s="98"/>
    </row>
    <row r="31" spans="2:6" x14ac:dyDescent="0.25">
      <c r="B31" s="98" t="s">
        <v>19</v>
      </c>
      <c r="C31" s="98" t="s">
        <v>157</v>
      </c>
      <c r="D31" s="98"/>
      <c r="E31" s="98"/>
      <c r="F31" s="98"/>
    </row>
    <row r="32" spans="2:6" x14ac:dyDescent="0.25">
      <c r="B32" s="98" t="s">
        <v>27</v>
      </c>
      <c r="C32" s="98" t="s">
        <v>158</v>
      </c>
      <c r="D32" s="98"/>
      <c r="E32" s="98"/>
      <c r="F32" s="98"/>
    </row>
    <row r="33" spans="2:6" x14ac:dyDescent="0.25">
      <c r="B33" s="98" t="s">
        <v>130</v>
      </c>
      <c r="C33" s="98" t="s">
        <v>159</v>
      </c>
      <c r="D33" s="98"/>
      <c r="E33" s="98"/>
      <c r="F33" s="98"/>
    </row>
    <row r="34" spans="2:6" x14ac:dyDescent="0.25">
      <c r="B34" s="98" t="s">
        <v>132</v>
      </c>
      <c r="C34" s="98" t="s">
        <v>160</v>
      </c>
      <c r="D34" s="98"/>
      <c r="E34" s="98"/>
      <c r="F34" s="98"/>
    </row>
    <row r="35" spans="2:6" x14ac:dyDescent="0.25">
      <c r="B35" s="98" t="s">
        <v>134</v>
      </c>
      <c r="C35" s="98" t="s">
        <v>161</v>
      </c>
      <c r="D35" s="98"/>
      <c r="E35" s="98"/>
      <c r="F35" s="98"/>
    </row>
    <row r="36" spans="2:6" x14ac:dyDescent="0.25">
      <c r="B36" s="98" t="s">
        <v>136</v>
      </c>
      <c r="C36" s="98" t="s">
        <v>162</v>
      </c>
      <c r="D36" s="98"/>
      <c r="E36" s="98"/>
      <c r="F36" s="98"/>
    </row>
    <row r="37" spans="2:6" x14ac:dyDescent="0.25">
      <c r="B37" s="98" t="s">
        <v>140</v>
      </c>
      <c r="C37" s="98" t="s">
        <v>163</v>
      </c>
      <c r="D37" s="98"/>
      <c r="E37" s="98"/>
      <c r="F37" s="98"/>
    </row>
    <row r="38" spans="2:6" x14ac:dyDescent="0.25">
      <c r="B38" s="98" t="s">
        <v>141</v>
      </c>
      <c r="C38" s="98" t="s">
        <v>164</v>
      </c>
      <c r="D38" s="98"/>
      <c r="E38" s="98"/>
      <c r="F38" s="98"/>
    </row>
    <row r="39" spans="2:6" x14ac:dyDescent="0.25">
      <c r="B39" s="98" t="s">
        <v>142</v>
      </c>
      <c r="C39" s="98" t="s">
        <v>165</v>
      </c>
      <c r="D39" s="98"/>
      <c r="E39" s="98"/>
      <c r="F39" s="98"/>
    </row>
    <row r="40" spans="2:6" x14ac:dyDescent="0.25">
      <c r="B40" s="98" t="s">
        <v>144</v>
      </c>
      <c r="C40" s="99" t="s">
        <v>73</v>
      </c>
      <c r="D40" s="98"/>
      <c r="E40" s="98"/>
      <c r="F40" s="98"/>
    </row>
    <row r="41" spans="2:6" x14ac:dyDescent="0.25">
      <c r="B41" s="98"/>
      <c r="C41" s="98"/>
      <c r="D41" s="98"/>
      <c r="E41" s="98"/>
      <c r="F41" s="98"/>
    </row>
    <row r="42" spans="2:6" x14ac:dyDescent="0.25">
      <c r="B42" s="99" t="s">
        <v>50</v>
      </c>
      <c r="C42" s="99" t="s">
        <v>166</v>
      </c>
      <c r="D42" s="98"/>
      <c r="E42" s="98"/>
      <c r="F42" s="98"/>
    </row>
    <row r="43" spans="2:6" x14ac:dyDescent="0.25">
      <c r="B43" s="98" t="s">
        <v>12</v>
      </c>
      <c r="C43" s="98" t="s">
        <v>167</v>
      </c>
      <c r="D43" s="98"/>
      <c r="E43" s="98"/>
      <c r="F43" s="98"/>
    </row>
    <row r="44" spans="2:6" x14ac:dyDescent="0.25">
      <c r="B44" s="98" t="s">
        <v>15</v>
      </c>
      <c r="C44" s="98" t="s">
        <v>168</v>
      </c>
      <c r="D44" s="98"/>
      <c r="E44" s="98"/>
      <c r="F44" s="98"/>
    </row>
    <row r="45" spans="2:6" x14ac:dyDescent="0.25">
      <c r="B45" s="98" t="s">
        <v>18</v>
      </c>
      <c r="C45" s="99" t="s">
        <v>73</v>
      </c>
      <c r="D45" s="98"/>
      <c r="E45" s="98"/>
      <c r="F45" s="98"/>
    </row>
    <row r="46" spans="2:6" x14ac:dyDescent="0.25">
      <c r="B46" s="98"/>
      <c r="C46" s="98"/>
      <c r="D46" s="98"/>
      <c r="E46" s="98"/>
      <c r="F46" s="98"/>
    </row>
    <row r="47" spans="2:6" x14ac:dyDescent="0.25">
      <c r="B47" s="99" t="s">
        <v>52</v>
      </c>
      <c r="C47" s="99" t="s">
        <v>169</v>
      </c>
      <c r="D47" s="98"/>
      <c r="E47" s="98"/>
      <c r="F47" s="98"/>
    </row>
    <row r="48" spans="2:6" x14ac:dyDescent="0.25">
      <c r="B48" s="98" t="s">
        <v>12</v>
      </c>
      <c r="C48" s="98"/>
      <c r="D48" s="98"/>
      <c r="E48" s="98"/>
      <c r="F48" s="98"/>
    </row>
    <row r="49" spans="2:6" x14ac:dyDescent="0.25">
      <c r="B49" s="98" t="s">
        <v>15</v>
      </c>
      <c r="C49" s="98"/>
      <c r="D49" s="98"/>
      <c r="E49" s="98"/>
      <c r="F49" s="98"/>
    </row>
    <row r="50" spans="2:6" x14ac:dyDescent="0.25">
      <c r="B50" s="98" t="s">
        <v>18</v>
      </c>
      <c r="C50" s="99" t="s">
        <v>73</v>
      </c>
      <c r="D50" s="98"/>
      <c r="E50" s="98"/>
      <c r="F50" s="98"/>
    </row>
    <row r="51" spans="2:6" x14ac:dyDescent="0.25">
      <c r="B51" s="98"/>
      <c r="C51" s="98"/>
      <c r="D51" s="98"/>
      <c r="E51" s="98"/>
      <c r="F51" s="98"/>
    </row>
    <row r="52" spans="2:6" x14ac:dyDescent="0.25">
      <c r="B52" s="99" t="s">
        <v>54</v>
      </c>
      <c r="C52" s="99" t="s">
        <v>170</v>
      </c>
      <c r="D52" s="98"/>
      <c r="E52" s="98"/>
      <c r="F52" s="98"/>
    </row>
    <row r="53" spans="2:6" x14ac:dyDescent="0.25">
      <c r="B53" s="98" t="s">
        <v>12</v>
      </c>
      <c r="C53" s="98" t="s">
        <v>171</v>
      </c>
      <c r="D53" s="98"/>
      <c r="E53" s="98"/>
      <c r="F53" s="98"/>
    </row>
    <row r="54" spans="2:6" x14ac:dyDescent="0.25">
      <c r="B54" s="98" t="s">
        <v>15</v>
      </c>
      <c r="C54" s="98" t="s">
        <v>172</v>
      </c>
      <c r="D54" s="98"/>
      <c r="E54" s="98"/>
      <c r="F54" s="98"/>
    </row>
    <row r="55" spans="2:6" x14ac:dyDescent="0.25">
      <c r="B55" s="98" t="s">
        <v>18</v>
      </c>
      <c r="C55" s="98" t="s">
        <v>173</v>
      </c>
      <c r="D55" s="98"/>
      <c r="E55" s="98"/>
      <c r="F55" s="98"/>
    </row>
    <row r="56" spans="2:6" x14ac:dyDescent="0.25">
      <c r="B56" s="98" t="s">
        <v>19</v>
      </c>
      <c r="C56" s="99" t="s">
        <v>73</v>
      </c>
      <c r="D56" s="98"/>
      <c r="E56" s="98"/>
      <c r="F56" s="98"/>
    </row>
    <row r="57" spans="2:6" x14ac:dyDescent="0.25">
      <c r="B57" s="98"/>
      <c r="C57" s="98"/>
      <c r="D57" s="98"/>
      <c r="E57" s="98"/>
      <c r="F57" s="98"/>
    </row>
    <row r="58" spans="2:6" x14ac:dyDescent="0.25">
      <c r="B58" s="99" t="s">
        <v>58</v>
      </c>
      <c r="C58" s="99" t="s">
        <v>174</v>
      </c>
      <c r="D58" s="98"/>
      <c r="E58" s="98"/>
      <c r="F58" s="98"/>
    </row>
    <row r="59" spans="2:6" x14ac:dyDescent="0.25">
      <c r="B59" s="98" t="s">
        <v>12</v>
      </c>
      <c r="C59" s="98"/>
      <c r="D59" s="98"/>
      <c r="E59" s="98"/>
      <c r="F59" s="98"/>
    </row>
    <row r="60" spans="2:6" x14ac:dyDescent="0.25">
      <c r="B60" s="98" t="s">
        <v>15</v>
      </c>
      <c r="C60" s="98"/>
      <c r="D60" s="98"/>
      <c r="E60" s="98"/>
      <c r="F60" s="98"/>
    </row>
    <row r="61" spans="2:6" x14ac:dyDescent="0.25">
      <c r="B61" s="98" t="s">
        <v>18</v>
      </c>
      <c r="C61" s="99" t="s">
        <v>73</v>
      </c>
      <c r="D61" s="98"/>
      <c r="E61" s="98"/>
      <c r="F61" s="98"/>
    </row>
    <row r="62" spans="2:6" x14ac:dyDescent="0.25">
      <c r="B62" s="98"/>
      <c r="C62" s="98"/>
      <c r="D62" s="98"/>
      <c r="E62" s="98"/>
      <c r="F62" s="98"/>
    </row>
    <row r="63" spans="2:6" x14ac:dyDescent="0.25">
      <c r="B63" s="99" t="s">
        <v>61</v>
      </c>
      <c r="C63" s="99" t="s">
        <v>72</v>
      </c>
      <c r="D63" s="98"/>
      <c r="E63" s="98"/>
      <c r="F63" s="98"/>
    </row>
    <row r="64" spans="2:6" x14ac:dyDescent="0.25">
      <c r="B64" s="98" t="s">
        <v>12</v>
      </c>
      <c r="C64" s="98" t="s">
        <v>175</v>
      </c>
      <c r="D64" s="98"/>
      <c r="E64" s="98"/>
      <c r="F64" s="98"/>
    </row>
    <row r="65" spans="2:6" x14ac:dyDescent="0.25">
      <c r="B65" s="98" t="s">
        <v>15</v>
      </c>
      <c r="C65" s="98"/>
      <c r="D65" s="98"/>
      <c r="E65" s="98"/>
      <c r="F65" s="98"/>
    </row>
    <row r="66" spans="2:6" x14ac:dyDescent="0.25">
      <c r="B66" s="98" t="s">
        <v>18</v>
      </c>
      <c r="C66" s="99" t="s">
        <v>73</v>
      </c>
      <c r="D66" s="98"/>
      <c r="E66" s="98"/>
      <c r="F66" s="98"/>
    </row>
    <row r="67" spans="2:6" x14ac:dyDescent="0.25">
      <c r="B67" s="98"/>
      <c r="C67" s="98"/>
      <c r="D67" s="98"/>
      <c r="E67" s="98"/>
      <c r="F67" s="98"/>
    </row>
    <row r="68" spans="2:6" x14ac:dyDescent="0.25">
      <c r="B68" s="99" t="s">
        <v>63</v>
      </c>
      <c r="C68" s="99" t="s">
        <v>176</v>
      </c>
      <c r="D68" s="98"/>
      <c r="E68" s="98"/>
      <c r="F68" s="98"/>
    </row>
    <row r="69" spans="2:6" x14ac:dyDescent="0.25">
      <c r="B69" s="99"/>
      <c r="C69" s="99"/>
      <c r="D69" s="98"/>
      <c r="E69" s="98"/>
      <c r="F69" s="98"/>
    </row>
    <row r="70" spans="2:6" ht="30" x14ac:dyDescent="0.25">
      <c r="B70" s="99" t="s">
        <v>65</v>
      </c>
      <c r="C70" s="99" t="s">
        <v>177</v>
      </c>
      <c r="D70" s="98"/>
      <c r="E70" s="98"/>
      <c r="F70" s="98"/>
    </row>
    <row r="71" spans="2:6" x14ac:dyDescent="0.25">
      <c r="B71" s="98" t="s">
        <v>12</v>
      </c>
      <c r="C71" s="98" t="s">
        <v>178</v>
      </c>
      <c r="D71" s="98"/>
      <c r="E71" s="98"/>
      <c r="F71" s="98"/>
    </row>
    <row r="72" spans="2:6" x14ac:dyDescent="0.25">
      <c r="B72" s="98" t="s">
        <v>15</v>
      </c>
      <c r="C72" s="98" t="s">
        <v>179</v>
      </c>
      <c r="D72" s="98"/>
      <c r="E72" s="98"/>
      <c r="F72" s="98"/>
    </row>
    <row r="73" spans="2:6" x14ac:dyDescent="0.25">
      <c r="B73" s="98" t="s">
        <v>18</v>
      </c>
      <c r="C73" s="98" t="s">
        <v>180</v>
      </c>
      <c r="D73" s="98"/>
      <c r="E73" s="98"/>
      <c r="F73" s="98"/>
    </row>
    <row r="74" spans="2:6" x14ac:dyDescent="0.25">
      <c r="B74" s="98" t="s">
        <v>19</v>
      </c>
      <c r="C74" s="98" t="s">
        <v>181</v>
      </c>
      <c r="D74" s="98"/>
      <c r="E74" s="98"/>
      <c r="F74" s="98"/>
    </row>
    <row r="75" spans="2:6" x14ac:dyDescent="0.25">
      <c r="B75" s="98" t="s">
        <v>27</v>
      </c>
      <c r="C75" s="98" t="s">
        <v>182</v>
      </c>
      <c r="D75" s="98"/>
      <c r="E75" s="98"/>
      <c r="F75" s="98"/>
    </row>
    <row r="76" spans="2:6" x14ac:dyDescent="0.25">
      <c r="B76" s="98" t="s">
        <v>130</v>
      </c>
      <c r="C76" s="99" t="s">
        <v>183</v>
      </c>
      <c r="D76" s="98"/>
      <c r="E76" s="98"/>
      <c r="F76" s="98"/>
    </row>
    <row r="77" spans="2:6" x14ac:dyDescent="0.25">
      <c r="B77" s="98"/>
      <c r="C77" s="99"/>
      <c r="D77" s="98"/>
      <c r="E77" s="98"/>
      <c r="F77" s="98"/>
    </row>
    <row r="78" spans="2:6" x14ac:dyDescent="0.25">
      <c r="B78" s="99" t="s">
        <v>67</v>
      </c>
      <c r="C78" s="99" t="s">
        <v>184</v>
      </c>
      <c r="D78" s="98"/>
      <c r="E78" s="98"/>
      <c r="F78" s="98"/>
    </row>
  </sheetData>
  <customSheetViews>
    <customSheetView guid="{9CE83D47-1940-43F4-9510-4E48915AF617}" topLeftCell="A66">
      <selection activeCell="C81" sqref="C81"/>
      <pageMargins left="0.7" right="0.7" top="0.75" bottom="0.75" header="0.3" footer="0.3"/>
    </customSheetView>
  </customSheetViews>
  <mergeCells count="3">
    <mergeCell ref="B4:B5"/>
    <mergeCell ref="C4:C5"/>
    <mergeCell ref="B2:F2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5"/>
  <sheetViews>
    <sheetView topLeftCell="A5" workbookViewId="0">
      <selection activeCell="H10" sqref="H10"/>
    </sheetView>
  </sheetViews>
  <sheetFormatPr defaultRowHeight="15" x14ac:dyDescent="0.25"/>
  <cols>
    <col min="1" max="2" width="9.140625" style="119"/>
    <col min="3" max="3" width="23.7109375" style="119" customWidth="1"/>
    <col min="4" max="4" width="16.7109375" style="119" customWidth="1"/>
    <col min="5" max="16384" width="9.140625" style="119"/>
  </cols>
  <sheetData>
    <row r="2" spans="1:6" x14ac:dyDescent="0.25">
      <c r="B2" s="256" t="s">
        <v>695</v>
      </c>
      <c r="C2" s="256"/>
      <c r="D2" s="256"/>
      <c r="E2" s="256"/>
    </row>
    <row r="4" spans="1:6" x14ac:dyDescent="0.25">
      <c r="B4" s="99" t="s">
        <v>100</v>
      </c>
      <c r="C4" s="99" t="s">
        <v>6</v>
      </c>
      <c r="D4" s="99" t="s">
        <v>254</v>
      </c>
      <c r="E4" s="99" t="s">
        <v>9</v>
      </c>
      <c r="F4" s="118" t="s">
        <v>830</v>
      </c>
    </row>
    <row r="5" spans="1:6" x14ac:dyDescent="0.25">
      <c r="B5" s="99">
        <v>1</v>
      </c>
      <c r="C5" s="99">
        <v>2</v>
      </c>
      <c r="D5" s="99">
        <v>3</v>
      </c>
      <c r="E5" s="99">
        <v>4</v>
      </c>
      <c r="F5" s="163">
        <v>5</v>
      </c>
    </row>
    <row r="6" spans="1:6" x14ac:dyDescent="0.25">
      <c r="B6" s="99" t="s">
        <v>10</v>
      </c>
      <c r="C6" s="99" t="s">
        <v>255</v>
      </c>
      <c r="D6" s="98"/>
      <c r="E6" s="98"/>
      <c r="F6" s="118"/>
    </row>
    <row r="7" spans="1:6" x14ac:dyDescent="0.25">
      <c r="B7" s="98" t="s">
        <v>12</v>
      </c>
      <c r="C7" s="98" t="s">
        <v>256</v>
      </c>
      <c r="D7" s="98"/>
      <c r="E7" s="98"/>
      <c r="F7" s="118"/>
    </row>
    <row r="8" spans="1:6" x14ac:dyDescent="0.25">
      <c r="B8" s="98" t="s">
        <v>15</v>
      </c>
      <c r="C8" s="98" t="s">
        <v>257</v>
      </c>
      <c r="D8" s="98"/>
      <c r="E8" s="98"/>
      <c r="F8" s="118"/>
    </row>
    <row r="9" spans="1:6" x14ac:dyDescent="0.25">
      <c r="B9" s="98" t="s">
        <v>18</v>
      </c>
      <c r="C9" s="98" t="s">
        <v>258</v>
      </c>
      <c r="D9" s="98"/>
      <c r="E9" s="98" t="s">
        <v>263</v>
      </c>
      <c r="F9" s="118"/>
    </row>
    <row r="10" spans="1:6" x14ac:dyDescent="0.25">
      <c r="B10" s="98" t="s">
        <v>259</v>
      </c>
      <c r="C10" s="98" t="s">
        <v>260</v>
      </c>
      <c r="D10" s="98"/>
      <c r="E10" s="98"/>
      <c r="F10" s="118"/>
    </row>
    <row r="11" spans="1:6" x14ac:dyDescent="0.25">
      <c r="B11" s="98" t="s">
        <v>261</v>
      </c>
      <c r="C11" s="98" t="s">
        <v>262</v>
      </c>
      <c r="D11" s="98"/>
      <c r="E11" s="98"/>
      <c r="F11" s="118"/>
    </row>
    <row r="12" spans="1:6" x14ac:dyDescent="0.25">
      <c r="A12" s="157"/>
      <c r="B12" s="99" t="s">
        <v>264</v>
      </c>
      <c r="C12" s="99" t="s">
        <v>265</v>
      </c>
      <c r="D12" s="36">
        <f>Assumption!D15</f>
        <v>151.13999999999999</v>
      </c>
      <c r="E12" s="98" t="s">
        <v>270</v>
      </c>
      <c r="F12" s="129">
        <f>Assumption!E15</f>
        <v>151.13999999999999</v>
      </c>
    </row>
    <row r="13" spans="1:6" x14ac:dyDescent="0.25">
      <c r="A13" s="158" t="s">
        <v>928</v>
      </c>
      <c r="B13" s="98" t="s">
        <v>30</v>
      </c>
      <c r="C13" s="98" t="s">
        <v>267</v>
      </c>
      <c r="D13" s="68">
        <v>0.04</v>
      </c>
      <c r="E13" s="98"/>
      <c r="F13" s="68">
        <v>0.04</v>
      </c>
    </row>
    <row r="14" spans="1:6" x14ac:dyDescent="0.25">
      <c r="B14" s="98" t="s">
        <v>50</v>
      </c>
      <c r="C14" s="98" t="s">
        <v>268</v>
      </c>
      <c r="D14" s="36">
        <f>D12*D13</f>
        <v>6.0455999999999994</v>
      </c>
      <c r="E14" s="98" t="s">
        <v>271</v>
      </c>
      <c r="F14" s="36">
        <f>F12*F13</f>
        <v>6.0455999999999994</v>
      </c>
    </row>
    <row r="15" spans="1:6" x14ac:dyDescent="0.25">
      <c r="B15" s="98" t="s">
        <v>52</v>
      </c>
      <c r="C15" s="98" t="s">
        <v>269</v>
      </c>
      <c r="D15" s="36"/>
      <c r="E15" s="98"/>
      <c r="F15" s="36"/>
    </row>
    <row r="16" spans="1:6" x14ac:dyDescent="0.25">
      <c r="B16" s="99" t="s">
        <v>54</v>
      </c>
      <c r="C16" s="99" t="s">
        <v>266</v>
      </c>
      <c r="D16" s="36">
        <f>D12-D14</f>
        <v>145.09439999999998</v>
      </c>
      <c r="E16" s="98" t="s">
        <v>272</v>
      </c>
      <c r="F16" s="36">
        <f>F12-F14</f>
        <v>145.09439999999998</v>
      </c>
    </row>
    <row r="19" spans="2:7" x14ac:dyDescent="0.25">
      <c r="B19" s="256" t="s">
        <v>858</v>
      </c>
      <c r="C19" s="256"/>
      <c r="D19" s="256"/>
      <c r="E19" s="256"/>
      <c r="F19" s="256"/>
      <c r="G19" s="256"/>
    </row>
    <row r="20" spans="2:7" x14ac:dyDescent="0.25">
      <c r="D20" s="134" t="s">
        <v>882</v>
      </c>
    </row>
    <row r="21" spans="2:7" x14ac:dyDescent="0.25">
      <c r="B21" s="99" t="s">
        <v>100</v>
      </c>
      <c r="C21" s="99" t="s">
        <v>6</v>
      </c>
      <c r="D21" s="99" t="s">
        <v>254</v>
      </c>
      <c r="E21" s="99" t="s">
        <v>9</v>
      </c>
      <c r="F21" s="159" t="s">
        <v>830</v>
      </c>
    </row>
    <row r="22" spans="2:7" ht="30" x14ac:dyDescent="0.25">
      <c r="B22" s="118">
        <v>1</v>
      </c>
      <c r="C22" s="98" t="s">
        <v>859</v>
      </c>
      <c r="D22" s="129">
        <f>Assumption!E21</f>
        <v>10</v>
      </c>
      <c r="E22" s="147"/>
      <c r="F22" s="129">
        <f>Assumption!D21</f>
        <v>10</v>
      </c>
    </row>
    <row r="23" spans="2:7" ht="30" x14ac:dyDescent="0.25">
      <c r="B23" s="118">
        <v>2</v>
      </c>
      <c r="C23" s="98" t="s">
        <v>860</v>
      </c>
      <c r="D23" s="129">
        <f>Assumption!E22</f>
        <v>35.369999999999997</v>
      </c>
      <c r="E23" s="147"/>
      <c r="F23" s="118">
        <f>Assumption!D22</f>
        <v>35.369999999999997</v>
      </c>
    </row>
    <row r="24" spans="2:7" ht="30" x14ac:dyDescent="0.25">
      <c r="B24" s="118">
        <v>3</v>
      </c>
      <c r="C24" s="98" t="s">
        <v>861</v>
      </c>
      <c r="D24" s="129">
        <f>D22+D23</f>
        <v>45.37</v>
      </c>
      <c r="E24" s="147"/>
      <c r="F24" s="129">
        <f>F22+F23</f>
        <v>45.37</v>
      </c>
    </row>
    <row r="25" spans="2:7" x14ac:dyDescent="0.25">
      <c r="D25" s="130"/>
    </row>
  </sheetData>
  <customSheetViews>
    <customSheetView guid="{9CE83D47-1940-43F4-9510-4E48915AF617}">
      <selection activeCell="B4" sqref="B4:C16"/>
      <pageMargins left="0.7" right="0.7" top="0.75" bottom="0.75" header="0.3" footer="0.3"/>
    </customSheetView>
  </customSheetViews>
  <mergeCells count="2">
    <mergeCell ref="B2:E2"/>
    <mergeCell ref="B19:G19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8"/>
  <sheetViews>
    <sheetView workbookViewId="0">
      <selection activeCell="E10" sqref="E10"/>
    </sheetView>
  </sheetViews>
  <sheetFormatPr defaultRowHeight="15" x14ac:dyDescent="0.25"/>
  <cols>
    <col min="1" max="1" width="9.140625" style="209"/>
    <col min="2" max="2" width="7.5703125" style="209" customWidth="1"/>
    <col min="3" max="3" width="32.28515625" style="209" customWidth="1"/>
    <col min="4" max="4" width="21.85546875" style="209" customWidth="1"/>
    <col min="5" max="5" width="17.7109375" style="209" customWidth="1"/>
    <col min="6" max="16384" width="9.140625" style="209"/>
  </cols>
  <sheetData>
    <row r="4" spans="2:5" ht="15" customHeight="1" x14ac:dyDescent="0.25">
      <c r="B4" s="239" t="s">
        <v>838</v>
      </c>
      <c r="C4" s="239"/>
      <c r="D4" s="239"/>
      <c r="E4" s="239"/>
    </row>
    <row r="5" spans="2:5" x14ac:dyDescent="0.25">
      <c r="D5" s="209" t="s">
        <v>870</v>
      </c>
      <c r="E5" s="209" t="s">
        <v>867</v>
      </c>
    </row>
    <row r="6" spans="2:5" x14ac:dyDescent="0.25">
      <c r="B6" s="206" t="s">
        <v>5</v>
      </c>
      <c r="C6" s="206" t="s">
        <v>6</v>
      </c>
      <c r="D6" s="206" t="s">
        <v>254</v>
      </c>
      <c r="E6" s="206" t="s">
        <v>254</v>
      </c>
    </row>
    <row r="7" spans="2:5" x14ac:dyDescent="0.25">
      <c r="B7" s="98" t="s">
        <v>10</v>
      </c>
      <c r="C7" s="98" t="s">
        <v>273</v>
      </c>
      <c r="D7" s="36">
        <f>Assumption!E23</f>
        <v>12.0015</v>
      </c>
      <c r="E7" s="222">
        <f>Assumption!D23</f>
        <v>11.43</v>
      </c>
    </row>
    <row r="8" spans="2:5" x14ac:dyDescent="0.25">
      <c r="B8" s="98" t="s">
        <v>21</v>
      </c>
      <c r="C8" s="98" t="s">
        <v>274</v>
      </c>
      <c r="D8" s="36">
        <f>Assumption!E24</f>
        <v>15.288000000000002</v>
      </c>
      <c r="E8" s="222">
        <f>Assumption!D24</f>
        <v>14.56</v>
      </c>
    </row>
  </sheetData>
  <customSheetViews>
    <customSheetView guid="{9CE83D47-1940-43F4-9510-4E48915AF617}">
      <selection activeCell="B8" sqref="B6:D8"/>
      <pageMargins left="0.7" right="0.7" top="0.75" bottom="0.75" header="0.3" footer="0.3"/>
    </customSheetView>
  </customSheetViews>
  <mergeCells count="1">
    <mergeCell ref="B4:E4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topLeftCell="B1" workbookViewId="0">
      <selection activeCell="F10" sqref="F10"/>
    </sheetView>
  </sheetViews>
  <sheetFormatPr defaultRowHeight="15" x14ac:dyDescent="0.25"/>
  <cols>
    <col min="1" max="2" width="9.140625" style="2"/>
    <col min="3" max="3" width="30.7109375" style="2" customWidth="1"/>
    <col min="4" max="4" width="12.140625" style="2" customWidth="1"/>
    <col min="5" max="5" width="12.140625" style="165" customWidth="1"/>
    <col min="6" max="6" width="23.140625" style="2" customWidth="1"/>
    <col min="7" max="16384" width="9.140625" style="2"/>
  </cols>
  <sheetData>
    <row r="2" spans="2:6" x14ac:dyDescent="0.25">
      <c r="B2" s="239" t="s">
        <v>839</v>
      </c>
      <c r="C2" s="239"/>
      <c r="D2" s="239"/>
      <c r="E2" s="8"/>
    </row>
    <row r="3" spans="2:6" x14ac:dyDescent="0.25">
      <c r="D3" s="2" t="s">
        <v>882</v>
      </c>
    </row>
    <row r="4" spans="2:6" ht="45" x14ac:dyDescent="0.25">
      <c r="B4" s="10" t="s">
        <v>5</v>
      </c>
      <c r="C4" s="10" t="s">
        <v>6</v>
      </c>
      <c r="D4" s="10" t="s">
        <v>254</v>
      </c>
      <c r="E4" s="7"/>
      <c r="F4" s="2" t="s">
        <v>940</v>
      </c>
    </row>
    <row r="5" spans="2:6" x14ac:dyDescent="0.25">
      <c r="B5" s="5" t="s">
        <v>10</v>
      </c>
      <c r="C5" s="5" t="s">
        <v>275</v>
      </c>
      <c r="D5" s="36">
        <f>'T10'!D29</f>
        <v>10.969999999999999</v>
      </c>
      <c r="E5" s="178"/>
    </row>
    <row r="6" spans="2:6" x14ac:dyDescent="0.25">
      <c r="B6" s="5" t="s">
        <v>21</v>
      </c>
      <c r="C6" s="5" t="s">
        <v>276</v>
      </c>
      <c r="D6" s="36">
        <f>'T10'!G18</f>
        <v>0</v>
      </c>
      <c r="E6" s="178"/>
    </row>
    <row r="7" spans="2:6" x14ac:dyDescent="0.25">
      <c r="B7" s="5" t="s">
        <v>30</v>
      </c>
      <c r="C7" s="5" t="s">
        <v>277</v>
      </c>
      <c r="D7" s="36">
        <f>D5+D6</f>
        <v>10.969999999999999</v>
      </c>
      <c r="E7" s="178"/>
    </row>
    <row r="8" spans="2:6" ht="30" x14ac:dyDescent="0.25">
      <c r="B8" s="5" t="s">
        <v>50</v>
      </c>
      <c r="C8" s="5" t="s">
        <v>278</v>
      </c>
      <c r="D8" s="5">
        <f>(D5+D7)/2</f>
        <v>10.969999999999999</v>
      </c>
      <c r="E8" s="6"/>
    </row>
  </sheetData>
  <customSheetViews>
    <customSheetView guid="{9CE83D47-1940-43F4-9510-4E48915AF617}">
      <selection activeCell="B2" sqref="B2:D8"/>
      <pageMargins left="0.7" right="0.7" top="0.75" bottom="0.75" header="0.3" footer="0.3"/>
    </customSheetView>
  </customSheetViews>
  <mergeCells count="1">
    <mergeCell ref="B2:D2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8"/>
  <sheetViews>
    <sheetView workbookViewId="0"/>
  </sheetViews>
  <sheetFormatPr defaultRowHeight="15" x14ac:dyDescent="0.25"/>
  <cols>
    <col min="1" max="2" width="9.140625" style="2"/>
    <col min="3" max="3" width="23" style="2" customWidth="1"/>
    <col min="4" max="4" width="14.140625" style="2" customWidth="1"/>
    <col min="5" max="16384" width="9.140625" style="2"/>
  </cols>
  <sheetData>
    <row r="2" spans="2:4" x14ac:dyDescent="0.25">
      <c r="B2" s="239" t="s">
        <v>282</v>
      </c>
      <c r="C2" s="239"/>
      <c r="D2" s="239"/>
    </row>
    <row r="4" spans="2:4" x14ac:dyDescent="0.25">
      <c r="B4" s="10" t="s">
        <v>100</v>
      </c>
      <c r="C4" s="10" t="s">
        <v>6</v>
      </c>
      <c r="D4" s="10" t="s">
        <v>254</v>
      </c>
    </row>
    <row r="5" spans="2:4" x14ac:dyDescent="0.25">
      <c r="B5" s="5" t="s">
        <v>10</v>
      </c>
      <c r="C5" s="5" t="s">
        <v>279</v>
      </c>
      <c r="D5" s="5"/>
    </row>
    <row r="6" spans="2:4" ht="30" x14ac:dyDescent="0.25">
      <c r="B6" s="5" t="s">
        <v>21</v>
      </c>
      <c r="C6" s="5" t="s">
        <v>276</v>
      </c>
      <c r="D6" s="5"/>
    </row>
    <row r="7" spans="2:4" x14ac:dyDescent="0.25">
      <c r="B7" s="5" t="s">
        <v>30</v>
      </c>
      <c r="C7" s="5" t="s">
        <v>280</v>
      </c>
      <c r="D7" s="5"/>
    </row>
    <row r="8" spans="2:4" x14ac:dyDescent="0.25">
      <c r="B8" s="5" t="s">
        <v>50</v>
      </c>
      <c r="C8" s="5" t="s">
        <v>281</v>
      </c>
      <c r="D8" s="5"/>
    </row>
  </sheetData>
  <customSheetViews>
    <customSheetView guid="{9CE83D47-1940-43F4-9510-4E48915AF617}">
      <selection activeCell="B2" sqref="B2:D8"/>
      <pageMargins left="0.7" right="0.7" top="0.75" bottom="0.75" header="0.3" footer="0.3"/>
    </customSheetView>
  </customSheetViews>
  <mergeCells count="1">
    <mergeCell ref="B2:D2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8"/>
  <sheetViews>
    <sheetView topLeftCell="B1" workbookViewId="0">
      <selection activeCell="F9" sqref="F9"/>
    </sheetView>
  </sheetViews>
  <sheetFormatPr defaultRowHeight="15" x14ac:dyDescent="0.25"/>
  <cols>
    <col min="1" max="2" width="9.140625" style="2"/>
    <col min="3" max="3" width="27.42578125" style="2" customWidth="1"/>
    <col min="4" max="4" width="19" style="2" customWidth="1"/>
    <col min="5" max="5" width="15.42578125" style="2" customWidth="1"/>
    <col min="6" max="6" width="9.140625" style="2" customWidth="1"/>
    <col min="7" max="16384" width="9.140625" style="2"/>
  </cols>
  <sheetData>
    <row r="2" spans="2:6" x14ac:dyDescent="0.25">
      <c r="B2" s="239" t="s">
        <v>842</v>
      </c>
      <c r="C2" s="239"/>
      <c r="D2" s="239"/>
      <c r="E2" s="239"/>
    </row>
    <row r="4" spans="2:6" x14ac:dyDescent="0.25">
      <c r="B4" s="10" t="s">
        <v>100</v>
      </c>
      <c r="C4" s="10" t="s">
        <v>6</v>
      </c>
      <c r="D4" s="10" t="s">
        <v>882</v>
      </c>
      <c r="E4" s="10" t="s">
        <v>9</v>
      </c>
      <c r="F4" s="206" t="s">
        <v>830</v>
      </c>
    </row>
    <row r="5" spans="2:6" x14ac:dyDescent="0.25">
      <c r="B5" s="133">
        <v>1</v>
      </c>
      <c r="C5" s="133">
        <v>2</v>
      </c>
      <c r="D5" s="133">
        <v>3</v>
      </c>
      <c r="E5" s="133">
        <v>4</v>
      </c>
      <c r="F5" s="206">
        <v>5</v>
      </c>
    </row>
    <row r="6" spans="2:6" x14ac:dyDescent="0.25">
      <c r="B6" s="5" t="s">
        <v>10</v>
      </c>
      <c r="C6" s="5" t="s">
        <v>283</v>
      </c>
      <c r="D6" s="98"/>
      <c r="E6" s="98"/>
      <c r="F6" s="206"/>
    </row>
    <row r="7" spans="2:6" ht="45" x14ac:dyDescent="0.25">
      <c r="B7" s="5" t="s">
        <v>12</v>
      </c>
      <c r="C7" s="5" t="s">
        <v>275</v>
      </c>
      <c r="D7" s="36">
        <f>'T10'!F10</f>
        <v>1111.0609999999999</v>
      </c>
      <c r="E7" s="5" t="s">
        <v>942</v>
      </c>
      <c r="F7" s="98">
        <f>'T10'!F7</f>
        <v>1096.501</v>
      </c>
    </row>
    <row r="8" spans="2:6" x14ac:dyDescent="0.25">
      <c r="B8" s="5" t="s">
        <v>15</v>
      </c>
      <c r="C8" s="5" t="s">
        <v>276</v>
      </c>
      <c r="D8" s="36">
        <f>Capex!D8</f>
        <v>15.288000000000002</v>
      </c>
      <c r="E8" s="5"/>
      <c r="F8" s="98">
        <f>'T10'!F8</f>
        <v>14.56</v>
      </c>
    </row>
    <row r="9" spans="2:6" x14ac:dyDescent="0.25">
      <c r="B9" s="5" t="s">
        <v>18</v>
      </c>
      <c r="C9" s="5" t="s">
        <v>277</v>
      </c>
      <c r="D9" s="36">
        <f>D7+D8</f>
        <v>1126.3489999999999</v>
      </c>
      <c r="E9" s="5"/>
      <c r="F9" s="98">
        <f>F7+F8</f>
        <v>1111.0609999999999</v>
      </c>
    </row>
    <row r="10" spans="2:6" x14ac:dyDescent="0.25">
      <c r="B10" s="5"/>
      <c r="C10" s="5"/>
      <c r="D10" s="5"/>
      <c r="E10" s="5"/>
      <c r="F10" s="98"/>
    </row>
    <row r="11" spans="2:6" x14ac:dyDescent="0.25">
      <c r="B11" s="5" t="s">
        <v>21</v>
      </c>
      <c r="C11" s="5" t="s">
        <v>284</v>
      </c>
      <c r="D11" s="5"/>
      <c r="E11" s="5"/>
      <c r="F11" s="98"/>
    </row>
    <row r="12" spans="2:6" x14ac:dyDescent="0.25">
      <c r="B12" s="5" t="s">
        <v>19</v>
      </c>
      <c r="C12" s="5" t="s">
        <v>279</v>
      </c>
      <c r="D12" s="5">
        <f>'Consumer contri'!D8</f>
        <v>10.969999999999999</v>
      </c>
      <c r="E12" s="5"/>
      <c r="F12" s="36">
        <f>'T10'!E27</f>
        <v>10.969999999999999</v>
      </c>
    </row>
    <row r="13" spans="2:6" x14ac:dyDescent="0.25">
      <c r="B13" s="5" t="s">
        <v>27</v>
      </c>
      <c r="C13" s="5" t="s">
        <v>276</v>
      </c>
      <c r="D13" s="2">
        <v>0</v>
      </c>
      <c r="E13" s="5"/>
      <c r="F13" s="36">
        <f>'T10'!E28</f>
        <v>0</v>
      </c>
    </row>
    <row r="14" spans="2:6" x14ac:dyDescent="0.25">
      <c r="B14" s="5" t="s">
        <v>130</v>
      </c>
      <c r="C14" s="5" t="s">
        <v>277</v>
      </c>
      <c r="D14" s="5">
        <f>D12+D13</f>
        <v>10.969999999999999</v>
      </c>
      <c r="E14" s="5"/>
      <c r="F14" s="36">
        <f>'T10'!E29</f>
        <v>10.969999999999999</v>
      </c>
    </row>
    <row r="15" spans="2:6" x14ac:dyDescent="0.25">
      <c r="B15" s="5"/>
      <c r="C15" s="5"/>
      <c r="D15" s="5"/>
      <c r="E15" s="5"/>
      <c r="F15" s="98"/>
    </row>
    <row r="16" spans="2:6" x14ac:dyDescent="0.25">
      <c r="B16" s="5" t="s">
        <v>30</v>
      </c>
      <c r="C16" s="5" t="s">
        <v>285</v>
      </c>
      <c r="D16" s="5"/>
      <c r="E16" s="5"/>
      <c r="F16" s="98"/>
    </row>
    <row r="17" spans="2:7" x14ac:dyDescent="0.25">
      <c r="B17" s="5" t="s">
        <v>132</v>
      </c>
      <c r="C17" s="5" t="s">
        <v>279</v>
      </c>
      <c r="D17" s="5"/>
      <c r="E17" s="5"/>
      <c r="F17" s="98"/>
    </row>
    <row r="18" spans="2:7" x14ac:dyDescent="0.25">
      <c r="B18" s="5" t="s">
        <v>134</v>
      </c>
      <c r="C18" s="5" t="s">
        <v>276</v>
      </c>
      <c r="D18" s="5"/>
      <c r="E18" s="5"/>
      <c r="F18" s="98"/>
    </row>
    <row r="19" spans="2:7" x14ac:dyDescent="0.25">
      <c r="B19" s="5" t="s">
        <v>136</v>
      </c>
      <c r="C19" s="5" t="s">
        <v>277</v>
      </c>
      <c r="D19" s="5"/>
      <c r="E19" s="5"/>
      <c r="F19" s="98"/>
    </row>
    <row r="20" spans="2:7" x14ac:dyDescent="0.25">
      <c r="B20" s="5"/>
      <c r="C20" s="5"/>
      <c r="D20" s="5"/>
      <c r="E20" s="5"/>
      <c r="F20" s="98"/>
    </row>
    <row r="21" spans="2:7" ht="30" x14ac:dyDescent="0.25">
      <c r="B21" s="5" t="s">
        <v>50</v>
      </c>
      <c r="C21" s="5" t="s">
        <v>286</v>
      </c>
      <c r="D21" s="5"/>
      <c r="E21" s="5"/>
      <c r="F21" s="36"/>
    </row>
    <row r="22" spans="2:7" x14ac:dyDescent="0.25">
      <c r="B22" s="5" t="s">
        <v>140</v>
      </c>
      <c r="C22" s="5" t="s">
        <v>279</v>
      </c>
      <c r="D22" s="36">
        <f>D7-D12-D17</f>
        <v>1100.0909999999999</v>
      </c>
      <c r="E22" s="5"/>
      <c r="F22" s="36">
        <f>F7-F12-F17</f>
        <v>1085.5309999999999</v>
      </c>
    </row>
    <row r="23" spans="2:7" x14ac:dyDescent="0.25">
      <c r="B23" s="5" t="s">
        <v>141</v>
      </c>
      <c r="C23" s="5" t="s">
        <v>277</v>
      </c>
      <c r="D23" s="36">
        <f>D9-D14-D19</f>
        <v>1115.3789999999999</v>
      </c>
      <c r="E23" s="5"/>
      <c r="F23" s="36">
        <f>F9-F14-F19</f>
        <v>1100.0909999999999</v>
      </c>
    </row>
    <row r="24" spans="2:7" x14ac:dyDescent="0.25">
      <c r="B24" s="5" t="s">
        <v>142</v>
      </c>
      <c r="C24" s="5" t="s">
        <v>287</v>
      </c>
      <c r="D24" s="36">
        <f>(D22+D23)/2</f>
        <v>1107.7349999999999</v>
      </c>
      <c r="E24" s="5"/>
      <c r="F24" s="36">
        <f>(F22+F23)/2</f>
        <v>1092.8109999999999</v>
      </c>
    </row>
    <row r="25" spans="2:7" x14ac:dyDescent="0.25">
      <c r="B25" s="5"/>
      <c r="C25" s="5"/>
      <c r="D25" s="5"/>
      <c r="E25" s="5"/>
      <c r="F25" s="98"/>
    </row>
    <row r="26" spans="2:7" x14ac:dyDescent="0.25">
      <c r="B26" s="5" t="s">
        <v>52</v>
      </c>
      <c r="C26" s="5" t="s">
        <v>288</v>
      </c>
      <c r="D26" s="35">
        <v>3.5999999999999997E-2</v>
      </c>
      <c r="E26" s="5"/>
      <c r="F26" s="35">
        <v>3.5999999999999997E-2</v>
      </c>
    </row>
    <row r="27" spans="2:7" x14ac:dyDescent="0.25">
      <c r="B27" s="5"/>
      <c r="C27" s="5"/>
      <c r="D27" s="5"/>
      <c r="E27" s="5"/>
      <c r="F27" s="98"/>
      <c r="G27" s="62"/>
    </row>
    <row r="28" spans="2:7" x14ac:dyDescent="0.25">
      <c r="B28" s="5" t="s">
        <v>289</v>
      </c>
      <c r="C28" s="5" t="s">
        <v>290</v>
      </c>
      <c r="D28" s="36">
        <f>D24*D26</f>
        <v>39.878459999999997</v>
      </c>
      <c r="E28" s="5"/>
      <c r="F28" s="36">
        <f>F24*F26</f>
        <v>39.341195999999997</v>
      </c>
    </row>
  </sheetData>
  <customSheetViews>
    <customSheetView guid="{9CE83D47-1940-43F4-9510-4E48915AF617}">
      <selection activeCell="C1" sqref="C1"/>
      <pageMargins left="0.7" right="0.7" top="0.75" bottom="0.75" header="0.3" footer="0.3"/>
    </customSheetView>
  </customSheetViews>
  <mergeCells count="1">
    <mergeCell ref="B2:E2"/>
  </mergeCells>
  <pageMargins left="0.7" right="0.7" top="0.75" bottom="0.75" header="0.3" footer="0.3"/>
  <pageSetup paperSize="9" scale="98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4"/>
  <sheetViews>
    <sheetView workbookViewId="0">
      <selection activeCell="C8" sqref="C8"/>
    </sheetView>
  </sheetViews>
  <sheetFormatPr defaultRowHeight="15" x14ac:dyDescent="0.25"/>
  <cols>
    <col min="1" max="2" width="9.140625" style="2"/>
    <col min="3" max="3" width="28.7109375" style="2" customWidth="1"/>
    <col min="4" max="4" width="13.5703125" style="2" customWidth="1"/>
    <col min="5" max="16384" width="9.140625" style="2"/>
  </cols>
  <sheetData>
    <row r="2" spans="2:5" x14ac:dyDescent="0.25">
      <c r="B2" s="239" t="s">
        <v>291</v>
      </c>
      <c r="C2" s="239"/>
      <c r="D2" s="239"/>
      <c r="E2" s="239"/>
    </row>
    <row r="4" spans="2:5" x14ac:dyDescent="0.25">
      <c r="B4" s="10" t="s">
        <v>100</v>
      </c>
      <c r="C4" s="10" t="s">
        <v>6</v>
      </c>
      <c r="D4" s="10" t="s">
        <v>254</v>
      </c>
      <c r="E4" s="10" t="s">
        <v>9</v>
      </c>
    </row>
    <row r="5" spans="2:5" x14ac:dyDescent="0.25">
      <c r="B5" s="10">
        <v>1</v>
      </c>
      <c r="C5" s="10">
        <v>2</v>
      </c>
      <c r="D5" s="10">
        <v>3</v>
      </c>
      <c r="E5" s="10">
        <v>4</v>
      </c>
    </row>
    <row r="6" spans="2:5" ht="30" x14ac:dyDescent="0.25">
      <c r="B6" s="5" t="s">
        <v>10</v>
      </c>
      <c r="C6" s="5" t="s">
        <v>292</v>
      </c>
      <c r="D6" s="5"/>
      <c r="E6" s="5"/>
    </row>
    <row r="7" spans="2:5" x14ac:dyDescent="0.25">
      <c r="B7" s="5" t="s">
        <v>21</v>
      </c>
      <c r="C7" s="5" t="s">
        <v>293</v>
      </c>
      <c r="D7" s="5"/>
      <c r="E7" s="5"/>
    </row>
    <row r="8" spans="2:5" ht="30" x14ac:dyDescent="0.25">
      <c r="B8" s="5" t="s">
        <v>30</v>
      </c>
      <c r="C8" s="10" t="s">
        <v>294</v>
      </c>
      <c r="D8" s="5"/>
      <c r="E8" s="5" t="s">
        <v>303</v>
      </c>
    </row>
    <row r="9" spans="2:5" ht="30" x14ac:dyDescent="0.25">
      <c r="B9" s="5" t="s">
        <v>50</v>
      </c>
      <c r="C9" s="5" t="s">
        <v>295</v>
      </c>
      <c r="D9" s="5"/>
      <c r="E9" s="5"/>
    </row>
    <row r="10" spans="2:5" ht="30" x14ac:dyDescent="0.25">
      <c r="B10" s="5" t="s">
        <v>52</v>
      </c>
      <c r="C10" s="10" t="s">
        <v>296</v>
      </c>
      <c r="D10" s="5"/>
      <c r="E10" s="5" t="s">
        <v>302</v>
      </c>
    </row>
    <row r="11" spans="2:5" x14ac:dyDescent="0.25">
      <c r="B11" s="5" t="s">
        <v>54</v>
      </c>
      <c r="C11" s="5" t="s">
        <v>297</v>
      </c>
      <c r="D11" s="5"/>
      <c r="E11" s="5"/>
    </row>
    <row r="12" spans="2:5" ht="30" x14ac:dyDescent="0.25">
      <c r="B12" s="5" t="s">
        <v>58</v>
      </c>
      <c r="C12" s="5" t="s">
        <v>298</v>
      </c>
      <c r="D12" s="5"/>
      <c r="E12" s="5"/>
    </row>
    <row r="13" spans="2:5" ht="30" x14ac:dyDescent="0.25">
      <c r="B13" s="5" t="s">
        <v>61</v>
      </c>
      <c r="C13" s="10" t="s">
        <v>299</v>
      </c>
      <c r="D13" s="5"/>
      <c r="E13" s="5" t="s">
        <v>301</v>
      </c>
    </row>
    <row r="14" spans="2:5" ht="30" x14ac:dyDescent="0.25">
      <c r="B14" s="5" t="s">
        <v>63</v>
      </c>
      <c r="C14" s="10" t="s">
        <v>300</v>
      </c>
      <c r="D14" s="5"/>
      <c r="E14" s="5"/>
    </row>
  </sheetData>
  <customSheetViews>
    <customSheetView guid="{9CE83D47-1940-43F4-9510-4E48915AF617}">
      <selection activeCell="B6" sqref="B6:E14"/>
      <pageMargins left="0.7" right="0.7" top="0.75" bottom="0.75" header="0.3" footer="0.3"/>
    </customSheetView>
  </customSheetViews>
  <mergeCells count="1">
    <mergeCell ref="B2:E2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1"/>
  <sheetViews>
    <sheetView topLeftCell="C1" workbookViewId="0">
      <selection activeCell="G6" sqref="G6"/>
    </sheetView>
  </sheetViews>
  <sheetFormatPr defaultRowHeight="15" x14ac:dyDescent="0.25"/>
  <cols>
    <col min="1" max="2" width="9.140625" style="2"/>
    <col min="3" max="3" width="28.85546875" style="2" customWidth="1"/>
    <col min="4" max="4" width="17.140625" style="2" customWidth="1"/>
    <col min="5" max="5" width="9.140625" style="2"/>
    <col min="6" max="6" width="9.140625" style="34"/>
    <col min="7" max="16384" width="9.140625" style="2"/>
  </cols>
  <sheetData>
    <row r="2" spans="2:6" x14ac:dyDescent="0.25">
      <c r="B2" s="239" t="s">
        <v>845</v>
      </c>
      <c r="C2" s="239"/>
      <c r="D2" s="239"/>
      <c r="E2" s="239"/>
      <c r="F2" s="8"/>
    </row>
    <row r="4" spans="2:6" x14ac:dyDescent="0.25">
      <c r="B4" s="10" t="s">
        <v>5</v>
      </c>
      <c r="C4" s="10" t="s">
        <v>6</v>
      </c>
      <c r="D4" s="10" t="s">
        <v>882</v>
      </c>
      <c r="E4" s="10" t="s">
        <v>9</v>
      </c>
      <c r="F4" s="176"/>
    </row>
    <row r="5" spans="2:6" x14ac:dyDescent="0.25">
      <c r="B5" s="10">
        <v>1</v>
      </c>
      <c r="C5" s="10">
        <v>2</v>
      </c>
      <c r="D5" s="10">
        <v>3</v>
      </c>
      <c r="E5" s="10">
        <v>4</v>
      </c>
      <c r="F5" s="176"/>
    </row>
    <row r="6" spans="2:6" x14ac:dyDescent="0.25">
      <c r="B6" s="5" t="s">
        <v>10</v>
      </c>
      <c r="C6" s="5" t="s">
        <v>304</v>
      </c>
      <c r="D6" s="36">
        <f>Capex!D8</f>
        <v>15.288000000000002</v>
      </c>
      <c r="E6" s="5"/>
      <c r="F6" s="19"/>
    </row>
    <row r="7" spans="2:6" x14ac:dyDescent="0.25">
      <c r="B7" s="10" t="s">
        <v>21</v>
      </c>
      <c r="C7" s="10" t="s">
        <v>305</v>
      </c>
      <c r="D7" s="5"/>
      <c r="E7" s="5"/>
      <c r="F7" s="19"/>
    </row>
    <row r="8" spans="2:6" x14ac:dyDescent="0.25">
      <c r="B8" s="5" t="s">
        <v>12</v>
      </c>
      <c r="C8" s="5" t="s">
        <v>284</v>
      </c>
      <c r="D8" s="36">
        <f>'Consumer contri'!D6</f>
        <v>0</v>
      </c>
      <c r="E8" s="5"/>
      <c r="F8" s="19"/>
    </row>
    <row r="9" spans="2:6" x14ac:dyDescent="0.25">
      <c r="B9" s="5" t="s">
        <v>15</v>
      </c>
      <c r="C9" s="5" t="s">
        <v>285</v>
      </c>
      <c r="D9" s="5"/>
      <c r="E9" s="5"/>
      <c r="F9" s="19"/>
    </row>
    <row r="10" spans="2:6" x14ac:dyDescent="0.25">
      <c r="B10" s="5" t="s">
        <v>18</v>
      </c>
      <c r="C10" s="5" t="s">
        <v>306</v>
      </c>
      <c r="D10" s="36">
        <f>D6-D8</f>
        <v>15.288000000000002</v>
      </c>
      <c r="E10" s="5"/>
      <c r="F10" s="19"/>
    </row>
    <row r="11" spans="2:6" x14ac:dyDescent="0.25">
      <c r="B11" s="5" t="s">
        <v>307</v>
      </c>
      <c r="C11" s="5" t="s">
        <v>308</v>
      </c>
      <c r="D11" s="5"/>
      <c r="E11" s="5"/>
      <c r="F11" s="19"/>
    </row>
  </sheetData>
  <customSheetViews>
    <customSheetView guid="{9CE83D47-1940-43F4-9510-4E48915AF617}">
      <selection activeCell="B4" sqref="B4:E11"/>
      <pageMargins left="0.7" right="0.7" top="0.75" bottom="0.75" header="0.3" footer="0.3"/>
    </customSheetView>
  </customSheetViews>
  <mergeCells count="1">
    <mergeCell ref="B2:E2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13"/>
  <sheetViews>
    <sheetView workbookViewId="0">
      <selection activeCell="I2" sqref="I2"/>
    </sheetView>
  </sheetViews>
  <sheetFormatPr defaultRowHeight="15" x14ac:dyDescent="0.25"/>
  <cols>
    <col min="1" max="2" width="9.140625" style="2"/>
    <col min="3" max="3" width="40.140625" style="2" customWidth="1"/>
    <col min="4" max="4" width="13.42578125" style="2" customWidth="1"/>
    <col min="5" max="6" width="9.140625" style="2"/>
    <col min="7" max="7" width="11.5703125" style="2" bestFit="1" customWidth="1"/>
    <col min="8" max="16384" width="9.140625" style="2"/>
  </cols>
  <sheetData>
    <row r="2" spans="2:9" ht="15" customHeight="1" x14ac:dyDescent="0.25">
      <c r="B2" s="239" t="s">
        <v>868</v>
      </c>
      <c r="C2" s="239"/>
      <c r="D2" s="239"/>
      <c r="E2" s="239"/>
      <c r="F2" s="239"/>
      <c r="I2" s="2">
        <f>96*0.4+50*0.2</f>
        <v>48.400000000000006</v>
      </c>
    </row>
    <row r="4" spans="2:9" x14ac:dyDescent="0.25">
      <c r="B4" s="10" t="s">
        <v>100</v>
      </c>
      <c r="C4" s="10" t="s">
        <v>6</v>
      </c>
      <c r="D4" s="10" t="s">
        <v>1019</v>
      </c>
      <c r="E4" s="10" t="s">
        <v>9</v>
      </c>
      <c r="F4" s="206" t="s">
        <v>830</v>
      </c>
    </row>
    <row r="5" spans="2:9" x14ac:dyDescent="0.25">
      <c r="B5" s="5">
        <v>1</v>
      </c>
      <c r="C5" s="5">
        <v>2</v>
      </c>
      <c r="D5" s="5">
        <v>3</v>
      </c>
      <c r="E5" s="5">
        <v>4</v>
      </c>
      <c r="F5" s="73">
        <v>5</v>
      </c>
    </row>
    <row r="6" spans="2:9" ht="30" x14ac:dyDescent="0.25">
      <c r="B6" s="5" t="s">
        <v>10</v>
      </c>
      <c r="C6" s="5" t="s">
        <v>309</v>
      </c>
      <c r="D6" s="36">
        <f>'Estd Revenue FY''15-16'!I42</f>
        <v>977.96493400080669</v>
      </c>
      <c r="E6" s="5"/>
      <c r="F6" s="36">
        <f>'Estd Revenue FY''15-16'!F42</f>
        <v>946.78949977363845</v>
      </c>
    </row>
    <row r="7" spans="2:9" ht="45" x14ac:dyDescent="0.25">
      <c r="B7" s="5" t="s">
        <v>21</v>
      </c>
      <c r="C7" s="5" t="s">
        <v>310</v>
      </c>
      <c r="D7" s="36">
        <f>(D6/12)*2</f>
        <v>162.99415566680111</v>
      </c>
      <c r="E7" s="5" t="s">
        <v>320</v>
      </c>
      <c r="F7" s="36">
        <f>(F6/12)*2</f>
        <v>157.79824996227308</v>
      </c>
    </row>
    <row r="8" spans="2:9" ht="30" x14ac:dyDescent="0.25">
      <c r="B8" s="5" t="s">
        <v>30</v>
      </c>
      <c r="C8" s="5" t="s">
        <v>311</v>
      </c>
      <c r="D8" s="36">
        <f>'Total PPC'!E19</f>
        <v>875.45300214257099</v>
      </c>
      <c r="E8" s="5"/>
      <c r="F8" s="36">
        <f>'Total PPC'!L19</f>
        <v>865.14214540400872</v>
      </c>
      <c r="G8" s="62"/>
    </row>
    <row r="9" spans="2:9" ht="30" x14ac:dyDescent="0.25">
      <c r="B9" s="5" t="s">
        <v>50</v>
      </c>
      <c r="C9" s="5" t="s">
        <v>312</v>
      </c>
      <c r="D9" s="36">
        <f>D8/12</f>
        <v>72.954416845214254</v>
      </c>
      <c r="E9" s="5" t="s">
        <v>319</v>
      </c>
      <c r="F9" s="36">
        <f>F8/12</f>
        <v>72.095178783667393</v>
      </c>
    </row>
    <row r="10" spans="2:9" x14ac:dyDescent="0.25">
      <c r="B10" s="5" t="s">
        <v>52</v>
      </c>
      <c r="C10" s="5" t="s">
        <v>313</v>
      </c>
      <c r="D10" s="5"/>
      <c r="E10" s="5" t="s">
        <v>865</v>
      </c>
      <c r="F10" s="73"/>
    </row>
    <row r="11" spans="2:9" x14ac:dyDescent="0.25">
      <c r="B11" s="5" t="s">
        <v>54</v>
      </c>
      <c r="C11" s="5" t="s">
        <v>314</v>
      </c>
      <c r="D11" s="36">
        <f>D7-D9-D10</f>
        <v>90.039738821586852</v>
      </c>
      <c r="E11" s="5" t="s">
        <v>318</v>
      </c>
      <c r="F11" s="36">
        <f>F7-F9-F10</f>
        <v>85.703071178605683</v>
      </c>
    </row>
    <row r="12" spans="2:9" x14ac:dyDescent="0.25">
      <c r="B12" s="5" t="s">
        <v>58</v>
      </c>
      <c r="C12" s="5" t="s">
        <v>315</v>
      </c>
      <c r="D12" s="36">
        <f>F11</f>
        <v>85.703071178605683</v>
      </c>
      <c r="E12" s="5"/>
      <c r="F12" s="36">
        <f>'T11'!D10</f>
        <v>78.67285333333335</v>
      </c>
    </row>
    <row r="13" spans="2:9" x14ac:dyDescent="0.25">
      <c r="B13" s="5" t="s">
        <v>61</v>
      </c>
      <c r="C13" s="5" t="s">
        <v>316</v>
      </c>
      <c r="D13" s="36">
        <f>D11-D12</f>
        <v>4.336667642981169</v>
      </c>
      <c r="E13" s="5" t="s">
        <v>317</v>
      </c>
      <c r="F13" s="36">
        <f>F11-F12</f>
        <v>7.0302178452723325</v>
      </c>
    </row>
  </sheetData>
  <customSheetViews>
    <customSheetView guid="{9CE83D47-1940-43F4-9510-4E48915AF617}">
      <selection activeCell="B13" sqref="B4:E13"/>
      <pageMargins left="0.7" right="0.7" top="0.75" bottom="0.75" header="0.3" footer="0.3"/>
    </customSheetView>
  </customSheetViews>
  <mergeCells count="1">
    <mergeCell ref="B2:F2"/>
  </mergeCells>
  <pageMargins left="0.7" right="0.7" top="0.75" bottom="0.75" header="0.3" footer="0.3"/>
  <pageSetup paperSize="9" scale="97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4"/>
  <sheetViews>
    <sheetView workbookViewId="0">
      <selection activeCell="B3" sqref="B3"/>
    </sheetView>
  </sheetViews>
  <sheetFormatPr defaultRowHeight="15" x14ac:dyDescent="0.25"/>
  <cols>
    <col min="1" max="2" width="9.140625" style="2"/>
    <col min="3" max="3" width="34.140625" style="2" customWidth="1"/>
    <col min="4" max="4" width="19.5703125" style="2" customWidth="1"/>
    <col min="5" max="5" width="19.42578125" style="2" customWidth="1"/>
    <col min="6" max="6" width="9.140625" style="2" customWidth="1"/>
    <col min="7" max="16384" width="9.140625" style="2"/>
  </cols>
  <sheetData>
    <row r="2" spans="2:7" ht="15" customHeight="1" x14ac:dyDescent="0.25">
      <c r="B2" s="239" t="s">
        <v>1031</v>
      </c>
      <c r="C2" s="239"/>
      <c r="D2" s="239"/>
      <c r="E2" s="239"/>
      <c r="F2" s="239"/>
    </row>
    <row r="4" spans="2:7" x14ac:dyDescent="0.25">
      <c r="B4" s="10" t="s">
        <v>5</v>
      </c>
      <c r="C4" s="10" t="s">
        <v>6</v>
      </c>
      <c r="D4" s="206" t="s">
        <v>882</v>
      </c>
      <c r="E4" s="10" t="s">
        <v>9</v>
      </c>
      <c r="F4" s="206" t="s">
        <v>830</v>
      </c>
    </row>
    <row r="5" spans="2:7" x14ac:dyDescent="0.25">
      <c r="B5" s="10">
        <v>1</v>
      </c>
      <c r="C5" s="10">
        <v>2</v>
      </c>
      <c r="D5" s="10">
        <v>3</v>
      </c>
      <c r="E5" s="10">
        <v>4</v>
      </c>
      <c r="F5" s="164">
        <v>5</v>
      </c>
    </row>
    <row r="6" spans="2:7" x14ac:dyDescent="0.25">
      <c r="B6" s="10" t="s">
        <v>10</v>
      </c>
      <c r="C6" s="10" t="s">
        <v>321</v>
      </c>
      <c r="D6" s="5"/>
      <c r="E6" s="5"/>
      <c r="F6" s="98"/>
    </row>
    <row r="7" spans="2:7" ht="30" x14ac:dyDescent="0.25">
      <c r="B7" s="5" t="s">
        <v>12</v>
      </c>
      <c r="C7" s="5" t="s">
        <v>580</v>
      </c>
      <c r="D7" s="36">
        <f>Dep!D7</f>
        <v>1111.0609999999999</v>
      </c>
      <c r="E7" s="5"/>
      <c r="F7" s="36">
        <f>'T12'!F30</f>
        <v>1096.501</v>
      </c>
    </row>
    <row r="8" spans="2:7" x14ac:dyDescent="0.25">
      <c r="B8" s="5" t="s">
        <v>15</v>
      </c>
      <c r="C8" s="5" t="s">
        <v>322</v>
      </c>
      <c r="D8" s="36">
        <f>WC!D12</f>
        <v>85.703071178605683</v>
      </c>
      <c r="E8" s="5"/>
      <c r="F8" s="36">
        <f>WC!F12</f>
        <v>78.67285333333335</v>
      </c>
    </row>
    <row r="9" spans="2:7" x14ac:dyDescent="0.25">
      <c r="B9" s="5" t="s">
        <v>18</v>
      </c>
      <c r="C9" s="5" t="s">
        <v>323</v>
      </c>
      <c r="D9" s="36">
        <f>'T10'!F68</f>
        <v>478.21567399999992</v>
      </c>
      <c r="E9" s="5"/>
      <c r="F9" s="36">
        <f>'T10'!F65</f>
        <v>438.87447799999995</v>
      </c>
    </row>
    <row r="10" spans="2:7" x14ac:dyDescent="0.25">
      <c r="B10" s="5" t="s">
        <v>19</v>
      </c>
      <c r="C10" s="5" t="s">
        <v>324</v>
      </c>
      <c r="D10" s="36"/>
      <c r="E10" s="5"/>
      <c r="F10" s="98"/>
    </row>
    <row r="11" spans="2:7" ht="30" x14ac:dyDescent="0.25">
      <c r="B11" s="5" t="s">
        <v>27</v>
      </c>
      <c r="C11" s="5" t="s">
        <v>325</v>
      </c>
      <c r="D11" s="36">
        <f>'T10'!F56</f>
        <v>10.969999999999999</v>
      </c>
      <c r="E11" s="5"/>
      <c r="F11" s="36">
        <f>'T10'!E27</f>
        <v>10.969999999999999</v>
      </c>
    </row>
    <row r="12" spans="2:7" x14ac:dyDescent="0.25">
      <c r="B12" s="5" t="s">
        <v>130</v>
      </c>
      <c r="C12" s="5" t="s">
        <v>326</v>
      </c>
      <c r="D12" s="36"/>
      <c r="E12" s="5"/>
      <c r="F12" s="98"/>
    </row>
    <row r="13" spans="2:7" x14ac:dyDescent="0.25">
      <c r="B13" s="10" t="s">
        <v>334</v>
      </c>
      <c r="C13" s="10" t="s">
        <v>327</v>
      </c>
      <c r="D13" s="36">
        <f>(D7+D8)-(D9+D10+D11+D12)</f>
        <v>707.57839717860577</v>
      </c>
      <c r="E13" s="5" t="s">
        <v>328</v>
      </c>
      <c r="F13" s="36">
        <f>(F7+F8)-(F9+F10+F11+F12)</f>
        <v>725.32937533333325</v>
      </c>
      <c r="G13" s="62"/>
    </row>
    <row r="14" spans="2:7" x14ac:dyDescent="0.25">
      <c r="B14" s="5" t="s">
        <v>21</v>
      </c>
      <c r="C14" s="5" t="s">
        <v>329</v>
      </c>
      <c r="D14" s="36"/>
      <c r="E14" s="5"/>
      <c r="F14" s="98"/>
    </row>
    <row r="15" spans="2:7" ht="30" x14ac:dyDescent="0.25">
      <c r="B15" s="5" t="s">
        <v>132</v>
      </c>
      <c r="C15" s="5" t="s">
        <v>330</v>
      </c>
      <c r="D15" s="36">
        <f>Capex!D8</f>
        <v>15.288000000000002</v>
      </c>
      <c r="E15" s="5"/>
      <c r="F15" s="98">
        <f>Capex!E8</f>
        <v>14.56</v>
      </c>
    </row>
    <row r="16" spans="2:7" x14ac:dyDescent="0.25">
      <c r="B16" s="5" t="s">
        <v>134</v>
      </c>
      <c r="C16" s="5" t="s">
        <v>331</v>
      </c>
      <c r="D16" s="36">
        <f>Dep!D28</f>
        <v>39.878459999999997</v>
      </c>
      <c r="E16" s="5"/>
      <c r="F16" s="36">
        <f>'T10'!F74</f>
        <v>39.341195999999997</v>
      </c>
    </row>
    <row r="17" spans="2:7" x14ac:dyDescent="0.25">
      <c r="B17" s="5" t="s">
        <v>136</v>
      </c>
      <c r="C17" s="5" t="s">
        <v>332</v>
      </c>
      <c r="D17" s="36"/>
      <c r="E17" s="5"/>
      <c r="F17" s="98"/>
    </row>
    <row r="18" spans="2:7" ht="30" x14ac:dyDescent="0.25">
      <c r="B18" s="5" t="s">
        <v>140</v>
      </c>
      <c r="C18" s="5" t="s">
        <v>333</v>
      </c>
      <c r="D18" s="36">
        <f>'Consumer contri'!D6</f>
        <v>0</v>
      </c>
      <c r="E18" s="5"/>
      <c r="F18" s="36">
        <f>'Consumer contri'!F6</f>
        <v>0</v>
      </c>
    </row>
    <row r="19" spans="2:7" x14ac:dyDescent="0.25">
      <c r="B19" s="5" t="s">
        <v>141</v>
      </c>
      <c r="C19" s="5" t="s">
        <v>326</v>
      </c>
      <c r="D19" s="36"/>
      <c r="E19" s="5"/>
      <c r="F19" s="98"/>
    </row>
    <row r="20" spans="2:7" x14ac:dyDescent="0.25">
      <c r="B20" s="5" t="s">
        <v>142</v>
      </c>
      <c r="C20" s="5" t="s">
        <v>316</v>
      </c>
      <c r="D20" s="36">
        <f>WC!D13</f>
        <v>4.336667642981169</v>
      </c>
      <c r="E20" s="5"/>
      <c r="F20" s="36">
        <f>WC!F13</f>
        <v>7.0302178452723325</v>
      </c>
      <c r="G20" s="62"/>
    </row>
    <row r="21" spans="2:7" x14ac:dyDescent="0.25">
      <c r="B21" s="10" t="s">
        <v>30</v>
      </c>
      <c r="C21" s="10" t="s">
        <v>335</v>
      </c>
      <c r="D21" s="36">
        <f>D13+D15-D16-D17-D18-D19+D20</f>
        <v>687.32460482158695</v>
      </c>
      <c r="E21" s="5" t="s">
        <v>340</v>
      </c>
      <c r="F21" s="36">
        <f>F13+F15-F16-F17-F18-F19+F20</f>
        <v>707.57839717860554</v>
      </c>
    </row>
    <row r="22" spans="2:7" ht="30" x14ac:dyDescent="0.25">
      <c r="B22" s="10" t="s">
        <v>50</v>
      </c>
      <c r="C22" s="10" t="s">
        <v>336</v>
      </c>
      <c r="D22" s="36">
        <f>((D15-D16+D17+D18+D19)/2)+D20</f>
        <v>-7.9585623570188275</v>
      </c>
      <c r="E22" s="5" t="s">
        <v>339</v>
      </c>
      <c r="F22" s="36">
        <f>((F15-F16+F17+F18+F19)/2)+F20</f>
        <v>-5.3603801547276646</v>
      </c>
    </row>
    <row r="23" spans="2:7" x14ac:dyDescent="0.25">
      <c r="B23" s="10" t="s">
        <v>52</v>
      </c>
      <c r="C23" s="10" t="s">
        <v>337</v>
      </c>
      <c r="D23" s="36">
        <f>D13+D22</f>
        <v>699.61983482158689</v>
      </c>
      <c r="E23" s="5" t="s">
        <v>338</v>
      </c>
      <c r="F23" s="36">
        <f>F13+F22</f>
        <v>719.96899517860561</v>
      </c>
      <c r="G23" s="62"/>
    </row>
    <row r="24" spans="2:7" x14ac:dyDescent="0.25">
      <c r="D24" s="62"/>
    </row>
  </sheetData>
  <customSheetViews>
    <customSheetView guid="{9CE83D47-1940-43F4-9510-4E48915AF617}" topLeftCell="A10">
      <selection activeCell="B4" sqref="B4:E23"/>
      <pageMargins left="0.7" right="0.7" top="0.75" bottom="0.75" header="0.3" footer="0.3"/>
    </customSheetView>
  </customSheetViews>
  <mergeCells count="1">
    <mergeCell ref="B2:F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2"/>
  <sheetViews>
    <sheetView topLeftCell="E26" zoomScaleNormal="100" workbookViewId="0">
      <selection activeCell="J47" sqref="J47"/>
    </sheetView>
  </sheetViews>
  <sheetFormatPr defaultColWidth="11.140625" defaultRowHeight="15" x14ac:dyDescent="0.25"/>
  <cols>
    <col min="1" max="1" width="11.140625" style="96"/>
    <col min="2" max="2" width="25.7109375" style="96" customWidth="1"/>
    <col min="3" max="3" width="11.28515625" style="175" bestFit="1" customWidth="1"/>
    <col min="4" max="4" width="11.28515625" style="96" bestFit="1" customWidth="1"/>
    <col min="5" max="5" width="11.140625" style="96" customWidth="1"/>
    <col min="6" max="6" width="11.28515625" style="96" bestFit="1" customWidth="1"/>
    <col min="7" max="7" width="11.5703125" style="96" bestFit="1" customWidth="1"/>
    <col min="8" max="10" width="11.28515625" style="96" bestFit="1" customWidth="1"/>
    <col min="11" max="11" width="12.28515625" style="96" bestFit="1" customWidth="1"/>
    <col min="12" max="13" width="11.5703125" style="96" bestFit="1" customWidth="1"/>
    <col min="14" max="16384" width="11.140625" style="96"/>
  </cols>
  <sheetData>
    <row r="2" spans="1:12" ht="17.25" customHeight="1" x14ac:dyDescent="0.25">
      <c r="A2" s="239" t="s">
        <v>964</v>
      </c>
      <c r="B2" s="239"/>
      <c r="C2" s="239"/>
      <c r="D2" s="239"/>
      <c r="E2" s="239"/>
      <c r="F2" s="239"/>
      <c r="G2" s="239"/>
      <c r="H2" s="239"/>
      <c r="I2" s="239"/>
      <c r="J2" s="239"/>
    </row>
    <row r="4" spans="1:12" x14ac:dyDescent="0.25">
      <c r="A4" s="23" t="s">
        <v>5</v>
      </c>
      <c r="B4" s="23" t="s">
        <v>32</v>
      </c>
      <c r="C4" s="167" t="s">
        <v>33</v>
      </c>
      <c r="D4" s="23" t="s">
        <v>34</v>
      </c>
      <c r="E4" s="23" t="s">
        <v>35</v>
      </c>
      <c r="F4" s="23" t="s">
        <v>36</v>
      </c>
      <c r="G4" s="23" t="s">
        <v>37</v>
      </c>
      <c r="H4" s="23" t="s">
        <v>38</v>
      </c>
      <c r="I4" s="23" t="s">
        <v>39</v>
      </c>
      <c r="J4" s="23" t="s">
        <v>8</v>
      </c>
    </row>
    <row r="5" spans="1:12" ht="30" x14ac:dyDescent="0.25">
      <c r="A5" s="4"/>
      <c r="B5" s="4"/>
      <c r="C5" s="168" t="s">
        <v>416</v>
      </c>
      <c r="D5" s="4" t="s">
        <v>416</v>
      </c>
      <c r="E5" s="4" t="s">
        <v>416</v>
      </c>
      <c r="F5" s="4" t="s">
        <v>416</v>
      </c>
      <c r="G5" s="4" t="s">
        <v>416</v>
      </c>
      <c r="H5" s="4" t="s">
        <v>416</v>
      </c>
      <c r="I5" s="4" t="s">
        <v>416</v>
      </c>
      <c r="J5" s="4" t="s">
        <v>807</v>
      </c>
      <c r="K5" s="96" t="s">
        <v>929</v>
      </c>
    </row>
    <row r="6" spans="1:12" x14ac:dyDescent="0.25">
      <c r="A6" s="164" t="s">
        <v>10</v>
      </c>
      <c r="B6" s="164" t="s">
        <v>40</v>
      </c>
      <c r="C6" s="169">
        <v>220</v>
      </c>
      <c r="D6" s="170">
        <v>208.98000000000002</v>
      </c>
      <c r="E6" s="170">
        <v>223.41000000000003</v>
      </c>
      <c r="F6" s="170">
        <v>239.13</v>
      </c>
      <c r="G6" s="170">
        <v>243.89160999999999</v>
      </c>
      <c r="H6" s="164">
        <v>259.01</v>
      </c>
      <c r="I6" s="164">
        <f>'T1'!E6</f>
        <v>251.62</v>
      </c>
      <c r="J6" s="164">
        <v>265.43</v>
      </c>
      <c r="K6" s="54"/>
      <c r="L6" s="54"/>
    </row>
    <row r="7" spans="1:12" x14ac:dyDescent="0.25">
      <c r="A7" s="4" t="s">
        <v>12</v>
      </c>
      <c r="B7" s="4" t="s">
        <v>41</v>
      </c>
      <c r="C7" s="168"/>
      <c r="D7" s="4"/>
      <c r="E7" s="4"/>
      <c r="F7" s="4"/>
      <c r="G7" s="4"/>
      <c r="H7" s="4"/>
      <c r="I7" s="4"/>
      <c r="J7" s="4"/>
    </row>
    <row r="8" spans="1:12" ht="30" x14ac:dyDescent="0.25">
      <c r="A8" s="4" t="s">
        <v>15</v>
      </c>
      <c r="B8" s="4" t="s">
        <v>42</v>
      </c>
      <c r="C8" s="168"/>
      <c r="D8" s="4"/>
      <c r="E8" s="4"/>
      <c r="F8" s="4"/>
      <c r="G8" s="4"/>
      <c r="H8" s="4"/>
      <c r="I8" s="4"/>
      <c r="J8" s="4"/>
    </row>
    <row r="9" spans="1:12" x14ac:dyDescent="0.25">
      <c r="A9" s="4"/>
      <c r="B9" s="4"/>
      <c r="C9" s="168"/>
      <c r="D9" s="4"/>
      <c r="E9" s="4"/>
      <c r="F9" s="4"/>
      <c r="G9" s="4"/>
      <c r="H9" s="4"/>
      <c r="I9" s="4"/>
      <c r="J9" s="4"/>
    </row>
    <row r="10" spans="1:12" s="166" customFormat="1" x14ac:dyDescent="0.25">
      <c r="A10" s="164" t="s">
        <v>21</v>
      </c>
      <c r="B10" s="164" t="s">
        <v>43</v>
      </c>
      <c r="C10" s="171">
        <f t="shared" ref="C10:I10" si="0">SUM(C11:C12)</f>
        <v>850.97</v>
      </c>
      <c r="D10" s="164">
        <f t="shared" si="0"/>
        <v>839.91599999999994</v>
      </c>
      <c r="E10" s="164">
        <f t="shared" si="0"/>
        <v>902.08600000000001</v>
      </c>
      <c r="F10" s="164">
        <f t="shared" si="0"/>
        <v>944.41000000000008</v>
      </c>
      <c r="G10" s="164">
        <f t="shared" si="0"/>
        <v>961.47452836999992</v>
      </c>
      <c r="H10" s="164">
        <f t="shared" si="0"/>
        <v>975.5</v>
      </c>
      <c r="I10" s="164">
        <f t="shared" si="0"/>
        <v>1001.11</v>
      </c>
      <c r="J10" s="164">
        <f>SUM(J11:J12)</f>
        <v>1025.67</v>
      </c>
      <c r="K10" s="54"/>
      <c r="L10" s="54"/>
    </row>
    <row r="11" spans="1:12" ht="30" x14ac:dyDescent="0.25">
      <c r="A11" s="4" t="s">
        <v>12</v>
      </c>
      <c r="B11" s="4" t="s">
        <v>44</v>
      </c>
      <c r="C11" s="172">
        <v>246.42000000000002</v>
      </c>
      <c r="D11" s="146">
        <v>250.81</v>
      </c>
      <c r="E11" s="146">
        <v>249.63</v>
      </c>
      <c r="F11" s="146">
        <v>250.83600000000001</v>
      </c>
      <c r="G11" s="146">
        <v>247.69878399999999</v>
      </c>
      <c r="H11" s="4">
        <v>253.99</v>
      </c>
      <c r="I11" s="59">
        <v>249.16</v>
      </c>
      <c r="J11" s="4">
        <v>246.54</v>
      </c>
    </row>
    <row r="12" spans="1:12" ht="30" x14ac:dyDescent="0.25">
      <c r="A12" s="4" t="s">
        <v>15</v>
      </c>
      <c r="B12" s="4" t="s">
        <v>45</v>
      </c>
      <c r="C12" s="173">
        <v>604.54999999999995</v>
      </c>
      <c r="D12" s="146">
        <v>589.10599999999999</v>
      </c>
      <c r="E12" s="146">
        <v>652.45600000000002</v>
      </c>
      <c r="F12" s="146">
        <v>693.57400000000007</v>
      </c>
      <c r="G12" s="146">
        <v>713.77574436999998</v>
      </c>
      <c r="H12" s="4">
        <v>721.51</v>
      </c>
      <c r="I12" s="59">
        <v>751.95</v>
      </c>
      <c r="J12" s="4">
        <v>779.13</v>
      </c>
    </row>
    <row r="13" spans="1:12" x14ac:dyDescent="0.25">
      <c r="A13" s="4"/>
      <c r="B13" s="4"/>
      <c r="C13" s="168"/>
      <c r="D13" s="4"/>
      <c r="E13" s="4"/>
      <c r="F13" s="4"/>
      <c r="G13" s="4"/>
      <c r="H13" s="4"/>
      <c r="I13" s="4"/>
      <c r="J13" s="4"/>
    </row>
    <row r="14" spans="1:12" s="166" customFormat="1" x14ac:dyDescent="0.25">
      <c r="A14" s="164" t="s">
        <v>30</v>
      </c>
      <c r="B14" s="164" t="s">
        <v>46</v>
      </c>
      <c r="C14" s="169">
        <v>0.32</v>
      </c>
      <c r="D14" s="170">
        <v>0.27</v>
      </c>
      <c r="E14" s="170">
        <v>0.35</v>
      </c>
      <c r="F14" s="170">
        <v>0.32</v>
      </c>
      <c r="G14" s="170">
        <v>0.30898300000000001</v>
      </c>
      <c r="H14" s="164">
        <v>0.26</v>
      </c>
      <c r="I14" s="164">
        <f>'T1'!E12</f>
        <v>0.21</v>
      </c>
      <c r="J14" s="164">
        <v>0.21</v>
      </c>
      <c r="K14" s="54"/>
      <c r="L14" s="54"/>
    </row>
    <row r="15" spans="1:12" ht="45" x14ac:dyDescent="0.25">
      <c r="A15" s="4" t="s">
        <v>12</v>
      </c>
      <c r="B15" s="4" t="s">
        <v>47</v>
      </c>
      <c r="C15" s="172">
        <v>0.32</v>
      </c>
      <c r="D15" s="146">
        <v>0.27</v>
      </c>
      <c r="E15" s="146">
        <v>0.35</v>
      </c>
      <c r="F15" s="146">
        <v>0.32</v>
      </c>
      <c r="G15" s="146">
        <v>0.30898300000000001</v>
      </c>
      <c r="H15" s="4">
        <v>0.26</v>
      </c>
      <c r="I15" s="4">
        <f>'T1'!E12</f>
        <v>0.21</v>
      </c>
      <c r="J15" s="4">
        <v>0.21</v>
      </c>
    </row>
    <row r="16" spans="1:12" ht="45" x14ac:dyDescent="0.25">
      <c r="A16" s="4" t="s">
        <v>15</v>
      </c>
      <c r="B16" s="4" t="s">
        <v>48</v>
      </c>
      <c r="C16" s="168"/>
      <c r="D16" s="4"/>
      <c r="E16" s="4"/>
      <c r="F16" s="4"/>
      <c r="G16" s="4"/>
      <c r="H16" s="4"/>
      <c r="I16" s="4"/>
      <c r="J16" s="4"/>
    </row>
    <row r="17" spans="1:12" ht="30" x14ac:dyDescent="0.25">
      <c r="A17" s="4" t="s">
        <v>18</v>
      </c>
      <c r="B17" s="4" t="s">
        <v>49</v>
      </c>
      <c r="C17" s="168"/>
      <c r="D17" s="4"/>
      <c r="E17" s="4"/>
      <c r="F17" s="4"/>
      <c r="G17" s="4"/>
      <c r="H17" s="4"/>
      <c r="I17" s="4"/>
      <c r="J17" s="4"/>
    </row>
    <row r="18" spans="1:12" x14ac:dyDescent="0.25">
      <c r="A18" s="4"/>
      <c r="B18" s="4"/>
      <c r="C18" s="168"/>
      <c r="D18" s="4"/>
      <c r="E18" s="4"/>
      <c r="F18" s="4"/>
      <c r="G18" s="4"/>
      <c r="H18" s="4"/>
      <c r="I18" s="4"/>
      <c r="J18" s="4"/>
    </row>
    <row r="19" spans="1:12" x14ac:dyDescent="0.25">
      <c r="A19" s="4" t="s">
        <v>50</v>
      </c>
      <c r="B19" s="4" t="s">
        <v>51</v>
      </c>
      <c r="C19" s="171"/>
      <c r="D19" s="4"/>
      <c r="E19" s="4"/>
      <c r="F19" s="4"/>
      <c r="G19" s="4"/>
      <c r="H19" s="4"/>
      <c r="I19" s="4"/>
      <c r="J19" s="4"/>
    </row>
    <row r="20" spans="1:12" x14ac:dyDescent="0.25">
      <c r="A20" s="4"/>
      <c r="B20" s="4"/>
      <c r="C20" s="171"/>
      <c r="D20" s="4"/>
      <c r="E20" s="4"/>
      <c r="F20" s="4"/>
      <c r="G20" s="4"/>
      <c r="H20" s="4"/>
      <c r="I20" s="4"/>
      <c r="J20" s="4"/>
    </row>
    <row r="21" spans="1:12" x14ac:dyDescent="0.25">
      <c r="A21" s="4" t="s">
        <v>52</v>
      </c>
      <c r="B21" s="4" t="s">
        <v>53</v>
      </c>
      <c r="C21" s="168"/>
      <c r="D21" s="4"/>
      <c r="E21" s="4"/>
      <c r="F21" s="4"/>
      <c r="G21" s="4"/>
      <c r="H21" s="4"/>
      <c r="I21" s="4"/>
      <c r="J21" s="4"/>
    </row>
    <row r="22" spans="1:12" x14ac:dyDescent="0.25">
      <c r="A22" s="4"/>
      <c r="B22" s="4"/>
      <c r="C22" s="168"/>
      <c r="D22" s="4"/>
      <c r="E22" s="4"/>
      <c r="F22" s="4"/>
      <c r="G22" s="4"/>
      <c r="H22" s="4"/>
      <c r="I22" s="4"/>
      <c r="J22" s="4"/>
    </row>
    <row r="23" spans="1:12" x14ac:dyDescent="0.25">
      <c r="A23" s="4" t="s">
        <v>54</v>
      </c>
      <c r="B23" s="4" t="s">
        <v>55</v>
      </c>
      <c r="C23" s="172">
        <v>7.63</v>
      </c>
      <c r="D23" s="146">
        <v>8.73</v>
      </c>
      <c r="E23" s="146">
        <v>9.19</v>
      </c>
      <c r="F23" s="146">
        <v>8.3699999999999992</v>
      </c>
      <c r="G23" s="146">
        <v>12.945015</v>
      </c>
      <c r="H23" s="4">
        <v>8.2100000000000009</v>
      </c>
      <c r="I23" s="4">
        <f>'T1'!E18</f>
        <v>8.32</v>
      </c>
      <c r="J23" s="4">
        <v>8.32</v>
      </c>
      <c r="K23" s="54"/>
      <c r="L23" s="54"/>
    </row>
    <row r="24" spans="1:12" x14ac:dyDescent="0.25">
      <c r="A24" s="4" t="s">
        <v>12</v>
      </c>
      <c r="B24" s="4" t="s">
        <v>56</v>
      </c>
      <c r="C24" s="168"/>
      <c r="D24" s="4"/>
      <c r="E24" s="4"/>
      <c r="F24" s="4"/>
      <c r="G24" s="4"/>
      <c r="H24" s="4"/>
      <c r="I24" s="4"/>
      <c r="J24" s="4"/>
    </row>
    <row r="25" spans="1:12" x14ac:dyDescent="0.25">
      <c r="A25" s="4" t="s">
        <v>15</v>
      </c>
      <c r="B25" s="4" t="s">
        <v>57</v>
      </c>
      <c r="C25" s="168"/>
      <c r="D25" s="4"/>
      <c r="E25" s="4"/>
      <c r="F25" s="4"/>
      <c r="G25" s="4"/>
      <c r="H25" s="4"/>
      <c r="I25" s="4"/>
      <c r="J25" s="4"/>
    </row>
    <row r="26" spans="1:12" x14ac:dyDescent="0.25">
      <c r="A26" s="4"/>
      <c r="B26" s="4"/>
      <c r="C26" s="168"/>
      <c r="D26" s="4"/>
      <c r="E26" s="4"/>
      <c r="F26" s="4"/>
      <c r="G26" s="4"/>
      <c r="H26" s="4"/>
      <c r="I26" s="4"/>
      <c r="J26" s="4"/>
    </row>
    <row r="27" spans="1:12" x14ac:dyDescent="0.25">
      <c r="A27" s="4" t="s">
        <v>58</v>
      </c>
      <c r="B27" s="4" t="s">
        <v>74</v>
      </c>
      <c r="C27" s="168"/>
      <c r="D27" s="4"/>
      <c r="E27" s="4"/>
      <c r="F27" s="4"/>
      <c r="G27" s="4"/>
      <c r="H27" s="4"/>
      <c r="I27" s="4"/>
      <c r="J27" s="4"/>
    </row>
    <row r="28" spans="1:12" x14ac:dyDescent="0.25">
      <c r="A28" s="4" t="s">
        <v>12</v>
      </c>
      <c r="B28" s="4" t="s">
        <v>59</v>
      </c>
      <c r="C28" s="168"/>
      <c r="D28" s="4"/>
      <c r="E28" s="4"/>
      <c r="F28" s="4"/>
      <c r="G28" s="4"/>
      <c r="H28" s="4"/>
      <c r="I28" s="4"/>
      <c r="J28" s="4"/>
    </row>
    <row r="29" spans="1:12" x14ac:dyDescent="0.25">
      <c r="A29" s="4" t="s">
        <v>15</v>
      </c>
      <c r="B29" s="4" t="s">
        <v>60</v>
      </c>
      <c r="C29" s="168"/>
      <c r="D29" s="4"/>
      <c r="E29" s="4"/>
      <c r="F29" s="4"/>
      <c r="G29" s="4"/>
      <c r="H29" s="4"/>
      <c r="I29" s="4"/>
      <c r="J29" s="4"/>
    </row>
    <row r="30" spans="1:12" x14ac:dyDescent="0.25">
      <c r="A30" s="4"/>
      <c r="B30" s="4"/>
      <c r="C30" s="168"/>
      <c r="D30" s="4"/>
      <c r="E30" s="4"/>
      <c r="F30" s="4"/>
      <c r="G30" s="4"/>
      <c r="H30" s="4"/>
      <c r="I30" s="4"/>
      <c r="J30" s="4"/>
    </row>
    <row r="31" spans="1:12" x14ac:dyDescent="0.25">
      <c r="A31" s="4" t="s">
        <v>61</v>
      </c>
      <c r="B31" s="4" t="s">
        <v>62</v>
      </c>
      <c r="C31" s="168"/>
      <c r="D31" s="4"/>
      <c r="E31" s="4"/>
      <c r="F31" s="4"/>
      <c r="G31" s="4"/>
      <c r="H31" s="4"/>
      <c r="I31" s="4"/>
      <c r="J31" s="4"/>
    </row>
    <row r="32" spans="1:12" x14ac:dyDescent="0.25">
      <c r="A32" s="4"/>
      <c r="B32" s="4"/>
      <c r="C32" s="168"/>
      <c r="D32" s="4"/>
      <c r="E32" s="4"/>
      <c r="F32" s="4"/>
      <c r="G32" s="4"/>
      <c r="H32" s="4"/>
      <c r="I32" s="4"/>
      <c r="J32" s="4"/>
    </row>
    <row r="33" spans="1:12" x14ac:dyDescent="0.25">
      <c r="A33" s="4" t="s">
        <v>63</v>
      </c>
      <c r="B33" s="4" t="s">
        <v>64</v>
      </c>
      <c r="C33" s="168"/>
      <c r="D33" s="4"/>
      <c r="E33" s="4"/>
      <c r="F33" s="4"/>
      <c r="G33" s="4"/>
      <c r="H33" s="4"/>
      <c r="I33" s="4"/>
      <c r="J33" s="4"/>
    </row>
    <row r="34" spans="1:12" x14ac:dyDescent="0.25">
      <c r="A34" s="4"/>
      <c r="B34" s="4"/>
      <c r="C34" s="168"/>
      <c r="D34" s="4"/>
      <c r="E34" s="4"/>
      <c r="F34" s="4"/>
      <c r="G34" s="4"/>
      <c r="H34" s="4"/>
      <c r="I34" s="4"/>
      <c r="J34" s="4"/>
    </row>
    <row r="35" spans="1:12" x14ac:dyDescent="0.25">
      <c r="A35" s="4" t="s">
        <v>65</v>
      </c>
      <c r="B35" s="4" t="s">
        <v>66</v>
      </c>
      <c r="C35" s="172">
        <v>0</v>
      </c>
      <c r="D35" s="146">
        <v>0</v>
      </c>
      <c r="E35" s="146">
        <v>0</v>
      </c>
      <c r="F35" s="146">
        <v>0</v>
      </c>
      <c r="G35" s="146">
        <v>20.232719500000002</v>
      </c>
      <c r="H35" s="4">
        <v>38.700000000000003</v>
      </c>
      <c r="I35" s="4">
        <f>'T1'!E26</f>
        <v>36.229999999999997</v>
      </c>
      <c r="J35" s="4">
        <v>18</v>
      </c>
      <c r="K35" s="54"/>
      <c r="L35" s="54"/>
    </row>
    <row r="36" spans="1:12" x14ac:dyDescent="0.25">
      <c r="A36" s="4"/>
      <c r="B36" s="4"/>
      <c r="C36" s="168"/>
      <c r="D36" s="4"/>
      <c r="E36" s="4"/>
      <c r="F36" s="4"/>
      <c r="G36" s="4"/>
      <c r="H36" s="4"/>
      <c r="I36" s="4"/>
      <c r="J36" s="4"/>
    </row>
    <row r="37" spans="1:12" ht="30" x14ac:dyDescent="0.25">
      <c r="A37" s="4" t="s">
        <v>67</v>
      </c>
      <c r="B37" s="4" t="s">
        <v>68</v>
      </c>
      <c r="C37" s="168"/>
      <c r="D37" s="4"/>
      <c r="E37" s="4"/>
      <c r="F37" s="4"/>
      <c r="G37" s="4"/>
      <c r="H37" s="4"/>
      <c r="I37" s="4"/>
      <c r="J37" s="4"/>
    </row>
    <row r="38" spans="1:12" x14ac:dyDescent="0.25">
      <c r="A38" s="4"/>
      <c r="B38" s="4"/>
      <c r="C38" s="168"/>
      <c r="D38" s="4"/>
      <c r="E38" s="4"/>
      <c r="F38" s="4"/>
      <c r="G38" s="4"/>
      <c r="H38" s="4"/>
      <c r="I38" s="4"/>
      <c r="J38" s="4"/>
    </row>
    <row r="39" spans="1:12" x14ac:dyDescent="0.25">
      <c r="A39" s="4" t="s">
        <v>69</v>
      </c>
      <c r="B39" s="4" t="s">
        <v>70</v>
      </c>
      <c r="C39" s="168"/>
      <c r="D39" s="4"/>
      <c r="E39" s="4"/>
      <c r="F39" s="4"/>
      <c r="G39" s="4"/>
      <c r="H39" s="4">
        <v>0.04</v>
      </c>
      <c r="I39" s="4">
        <f>'T1'!E28</f>
        <v>0</v>
      </c>
      <c r="J39" s="4">
        <v>9.77</v>
      </c>
      <c r="K39" s="54"/>
    </row>
    <row r="40" spans="1:12" x14ac:dyDescent="0.25">
      <c r="A40" s="4"/>
      <c r="B40" s="4"/>
      <c r="C40" s="168"/>
      <c r="D40" s="4"/>
      <c r="E40" s="4"/>
      <c r="F40" s="4"/>
      <c r="G40" s="4"/>
      <c r="H40" s="4"/>
      <c r="I40" s="4"/>
      <c r="J40" s="4"/>
    </row>
    <row r="41" spans="1:12" x14ac:dyDescent="0.25">
      <c r="A41" s="78" t="s">
        <v>71</v>
      </c>
      <c r="B41" s="78" t="s">
        <v>72</v>
      </c>
      <c r="C41" s="174">
        <v>4.08</v>
      </c>
      <c r="D41" s="174">
        <v>6.5</v>
      </c>
      <c r="E41" s="174">
        <v>7.08</v>
      </c>
      <c r="F41" s="174">
        <v>9.5</v>
      </c>
      <c r="G41" s="174">
        <v>7.6857819999999997</v>
      </c>
      <c r="H41" s="78">
        <v>9.5299999999999994</v>
      </c>
      <c r="I41" s="78">
        <f>'T1'!E29</f>
        <v>9.74</v>
      </c>
      <c r="J41" s="97">
        <v>9.75</v>
      </c>
      <c r="K41" s="54"/>
      <c r="L41" s="54"/>
    </row>
    <row r="42" spans="1:12" x14ac:dyDescent="0.25">
      <c r="A42" s="78"/>
      <c r="B42" s="40" t="s">
        <v>73</v>
      </c>
      <c r="C42" s="40">
        <f t="shared" ref="C42:J42" si="1">SUM(C41,C39,C35,C23,C14,C10,C6)</f>
        <v>1083</v>
      </c>
      <c r="D42" s="40">
        <f t="shared" si="1"/>
        <v>1064.396</v>
      </c>
      <c r="E42" s="40">
        <f t="shared" si="1"/>
        <v>1142.116</v>
      </c>
      <c r="F42" s="40">
        <f t="shared" si="1"/>
        <v>1201.73</v>
      </c>
      <c r="G42" s="40">
        <f t="shared" si="1"/>
        <v>1246.5386378699998</v>
      </c>
      <c r="H42" s="40">
        <f t="shared" si="1"/>
        <v>1291.25</v>
      </c>
      <c r="I42" s="40">
        <f t="shared" si="1"/>
        <v>1307.23</v>
      </c>
      <c r="J42" s="40">
        <f t="shared" si="1"/>
        <v>1337.15</v>
      </c>
      <c r="K42" s="54"/>
      <c r="L42" s="54"/>
    </row>
  </sheetData>
  <customSheetViews>
    <customSheetView guid="{9CE83D47-1940-43F4-9510-4E48915AF617}">
      <selection activeCell="B1" sqref="B1"/>
      <pageMargins left="0.7" right="0.7" top="0.75" bottom="0.75" header="0.3" footer="0.3"/>
      <pageSetup paperSize="9" orientation="portrait" r:id="rId1"/>
    </customSheetView>
  </customSheetViews>
  <mergeCells count="1">
    <mergeCell ref="A2:J2"/>
  </mergeCells>
  <pageMargins left="0.7" right="0.7" top="0.75" bottom="0.75" header="0.3" footer="0.3"/>
  <pageSetup paperSize="9" orientation="portrait"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0"/>
  <sheetViews>
    <sheetView topLeftCell="B6" workbookViewId="0">
      <selection activeCell="B19" sqref="B19:F30"/>
    </sheetView>
  </sheetViews>
  <sheetFormatPr defaultRowHeight="15" x14ac:dyDescent="0.25"/>
  <cols>
    <col min="1" max="2" width="9.140625" style="2"/>
    <col min="3" max="3" width="32.7109375" style="2" customWidth="1"/>
    <col min="4" max="4" width="14.5703125" style="2" customWidth="1"/>
    <col min="5" max="5" width="14.5703125" style="75" customWidth="1"/>
    <col min="6" max="6" width="11.5703125" style="2" bestFit="1" customWidth="1"/>
    <col min="7" max="7" width="9.42578125" style="2" bestFit="1" customWidth="1"/>
    <col min="8" max="8" width="9.140625" style="2"/>
    <col min="9" max="9" width="11.5703125" style="2" bestFit="1" customWidth="1"/>
    <col min="10" max="16384" width="9.140625" style="2"/>
  </cols>
  <sheetData>
    <row r="2" spans="1:8" x14ac:dyDescent="0.25">
      <c r="B2" s="239" t="s">
        <v>849</v>
      </c>
      <c r="C2" s="239"/>
      <c r="D2" s="239"/>
      <c r="E2" s="239"/>
      <c r="F2" s="239"/>
      <c r="G2" s="239"/>
    </row>
    <row r="4" spans="1:8" x14ac:dyDescent="0.25">
      <c r="B4" s="10" t="s">
        <v>100</v>
      </c>
      <c r="C4" s="10" t="s">
        <v>6</v>
      </c>
      <c r="D4" s="10" t="s">
        <v>39</v>
      </c>
      <c r="E4" s="74" t="s">
        <v>8</v>
      </c>
      <c r="F4" s="74" t="s">
        <v>726</v>
      </c>
      <c r="G4" s="74" t="s">
        <v>9</v>
      </c>
    </row>
    <row r="5" spans="1:8" x14ac:dyDescent="0.25">
      <c r="B5" s="10">
        <v>1</v>
      </c>
      <c r="C5" s="10">
        <v>2</v>
      </c>
      <c r="D5" s="74">
        <v>3</v>
      </c>
      <c r="E5" s="74">
        <v>4</v>
      </c>
      <c r="F5" s="74">
        <v>5</v>
      </c>
      <c r="G5" s="74">
        <v>6</v>
      </c>
    </row>
    <row r="6" spans="1:8" x14ac:dyDescent="0.25">
      <c r="B6" s="10" t="s">
        <v>10</v>
      </c>
      <c r="C6" s="10" t="s">
        <v>341</v>
      </c>
      <c r="D6" s="10"/>
      <c r="E6" s="74"/>
      <c r="F6" s="10"/>
      <c r="G6" s="10"/>
    </row>
    <row r="7" spans="1:8" x14ac:dyDescent="0.25">
      <c r="B7" s="5" t="s">
        <v>12</v>
      </c>
      <c r="C7" s="5" t="s">
        <v>342</v>
      </c>
      <c r="D7" s="36">
        <f>'T12'!D34*0.3</f>
        <v>235.839</v>
      </c>
      <c r="E7" s="36">
        <f>D10</f>
        <v>217.5988126</v>
      </c>
      <c r="F7" s="36">
        <f>E10</f>
        <v>212.2735191535817</v>
      </c>
      <c r="G7" s="5"/>
    </row>
    <row r="8" spans="1:8" x14ac:dyDescent="0.25">
      <c r="B8" s="5" t="s">
        <v>15</v>
      </c>
      <c r="C8" s="5" t="s">
        <v>276</v>
      </c>
      <c r="D8" s="36">
        <f>('T12'!D39-'T12'!D34)*0.3</f>
        <v>-18.240187399999989</v>
      </c>
      <c r="E8" s="36">
        <f>('T12'!F39-'T12'!F34)*0.3</f>
        <v>-5.3252934464183115</v>
      </c>
      <c r="F8" s="36">
        <f>(RRB!D21-RRB!D13)*0.3</f>
        <v>-6.076137707105647</v>
      </c>
      <c r="G8" s="5"/>
    </row>
    <row r="9" spans="1:8" x14ac:dyDescent="0.25">
      <c r="B9" s="5" t="s">
        <v>18</v>
      </c>
      <c r="C9" s="15" t="s">
        <v>343</v>
      </c>
      <c r="D9" s="15"/>
      <c r="E9" s="15"/>
      <c r="F9" s="15"/>
      <c r="G9" s="15"/>
    </row>
    <row r="10" spans="1:8" x14ac:dyDescent="0.25">
      <c r="B10" s="5" t="s">
        <v>19</v>
      </c>
      <c r="C10" s="5" t="s">
        <v>344</v>
      </c>
      <c r="D10" s="36">
        <f>'T12'!D39*0.3</f>
        <v>217.5988126</v>
      </c>
      <c r="E10" s="36">
        <f>E7+E8</f>
        <v>212.2735191535817</v>
      </c>
      <c r="F10" s="36">
        <f>(F7+F8-F9)</f>
        <v>206.19738144647604</v>
      </c>
      <c r="G10" s="5" t="s">
        <v>345</v>
      </c>
    </row>
    <row r="11" spans="1:8" x14ac:dyDescent="0.25">
      <c r="B11" s="5" t="s">
        <v>27</v>
      </c>
      <c r="C11" s="5" t="s">
        <v>347</v>
      </c>
      <c r="D11" s="36">
        <f>(D7+D10)/2</f>
        <v>226.71890630000001</v>
      </c>
      <c r="E11" s="36">
        <f>(E7+E10)/2</f>
        <v>214.93616587679085</v>
      </c>
      <c r="F11" s="36">
        <f>(F7+F10)/2</f>
        <v>209.23545030002887</v>
      </c>
      <c r="G11" s="5" t="s">
        <v>346</v>
      </c>
    </row>
    <row r="12" spans="1:8" x14ac:dyDescent="0.25">
      <c r="A12" s="3"/>
      <c r="B12" s="10" t="s">
        <v>21</v>
      </c>
      <c r="C12" s="10" t="s">
        <v>308</v>
      </c>
      <c r="D12" s="5"/>
      <c r="E12" s="73"/>
      <c r="F12" s="5"/>
      <c r="G12" s="5"/>
    </row>
    <row r="13" spans="1:8" x14ac:dyDescent="0.25">
      <c r="B13" s="5" t="s">
        <v>130</v>
      </c>
      <c r="C13" s="5" t="s">
        <v>348</v>
      </c>
      <c r="D13" s="36">
        <f>'T12'!D34*0.7</f>
        <v>550.29099999999994</v>
      </c>
      <c r="E13" s="36">
        <f>D16</f>
        <v>507.73056273333327</v>
      </c>
      <c r="F13" s="36">
        <f>E16</f>
        <v>495.30487802502387</v>
      </c>
      <c r="G13" s="73"/>
    </row>
    <row r="14" spans="1:8" x14ac:dyDescent="0.25">
      <c r="B14" s="5" t="s">
        <v>132</v>
      </c>
      <c r="C14" s="5" t="s">
        <v>276</v>
      </c>
      <c r="D14" s="36">
        <f>('T12'!D39-'T12'!D34)*0.7</f>
        <v>-42.560437266666639</v>
      </c>
      <c r="E14" s="36">
        <f>('T12'!F39-'T12'!F34)*0.7</f>
        <v>-12.425684708309392</v>
      </c>
      <c r="F14" s="36">
        <f>(RRB!D21-RRB!D13)*0.7</f>
        <v>-14.177654649913176</v>
      </c>
      <c r="G14" s="5"/>
    </row>
    <row r="15" spans="1:8" x14ac:dyDescent="0.25">
      <c r="B15" s="5" t="s">
        <v>134</v>
      </c>
      <c r="C15" s="5" t="s">
        <v>349</v>
      </c>
      <c r="D15" s="36"/>
      <c r="E15" s="73"/>
      <c r="F15" s="5"/>
      <c r="G15" s="5"/>
      <c r="H15" s="62"/>
    </row>
    <row r="16" spans="1:8" x14ac:dyDescent="0.25">
      <c r="B16" s="5" t="s">
        <v>136</v>
      </c>
      <c r="C16" s="5" t="s">
        <v>350</v>
      </c>
      <c r="D16" s="36">
        <f>D13+D14</f>
        <v>507.73056273333327</v>
      </c>
      <c r="E16" s="36">
        <f>E13+E14</f>
        <v>495.30487802502387</v>
      </c>
      <c r="F16" s="36">
        <f>SUM(F13:F15)</f>
        <v>481.1272233751107</v>
      </c>
      <c r="G16" s="5" t="s">
        <v>353</v>
      </c>
    </row>
    <row r="17" spans="2:7" x14ac:dyDescent="0.25">
      <c r="B17" s="5" t="s">
        <v>140</v>
      </c>
      <c r="C17" s="5" t="s">
        <v>351</v>
      </c>
      <c r="D17" s="36">
        <f>(D13+D16)/2</f>
        <v>529.01078136666661</v>
      </c>
      <c r="E17" s="36">
        <f>(E13+E16)/2</f>
        <v>501.51772037917857</v>
      </c>
      <c r="F17" s="36">
        <f>(F13+F16)/2</f>
        <v>488.21605070006729</v>
      </c>
      <c r="G17" s="5" t="s">
        <v>352</v>
      </c>
    </row>
    <row r="20" spans="2:7" x14ac:dyDescent="0.25">
      <c r="D20" s="62"/>
      <c r="E20" s="62"/>
    </row>
  </sheetData>
  <customSheetViews>
    <customSheetView guid="{9CE83D47-1940-43F4-9510-4E48915AF617}">
      <selection activeCell="C5" sqref="C5"/>
      <pageMargins left="0.7" right="0.7" top="0.75" bottom="0.75" header="0.3" footer="0.3"/>
    </customSheetView>
  </customSheetViews>
  <mergeCells count="1">
    <mergeCell ref="B2:G2"/>
  </mergeCells>
  <pageMargins left="0.7" right="0.7" top="0.75" bottom="0.75" header="0.3" footer="0.3"/>
  <pageSetup paperSize="9" scale="86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6"/>
  <sheetViews>
    <sheetView workbookViewId="0">
      <selection activeCell="F7" sqref="F7"/>
    </sheetView>
  </sheetViews>
  <sheetFormatPr defaultRowHeight="15" x14ac:dyDescent="0.25"/>
  <cols>
    <col min="1" max="2" width="9.140625" style="119"/>
    <col min="3" max="3" width="21.85546875" style="119" customWidth="1"/>
    <col min="4" max="4" width="14.5703125" style="119" customWidth="1"/>
    <col min="5" max="5" width="21.5703125" style="119" customWidth="1"/>
    <col min="6" max="16384" width="9.140625" style="119"/>
  </cols>
  <sheetData>
    <row r="2" spans="2:6" x14ac:dyDescent="0.25">
      <c r="B2" s="256" t="s">
        <v>871</v>
      </c>
      <c r="C2" s="256"/>
      <c r="D2" s="256"/>
      <c r="E2" s="256"/>
      <c r="F2" s="256"/>
    </row>
    <row r="4" spans="2:6" x14ac:dyDescent="0.25">
      <c r="B4" s="135" t="s">
        <v>100</v>
      </c>
      <c r="C4" s="135" t="s">
        <v>6</v>
      </c>
      <c r="D4" s="135" t="s">
        <v>1019</v>
      </c>
      <c r="E4" s="135" t="s">
        <v>9</v>
      </c>
      <c r="F4" s="23" t="s">
        <v>830</v>
      </c>
    </row>
    <row r="5" spans="2:6" x14ac:dyDescent="0.25">
      <c r="B5" s="135">
        <v>1</v>
      </c>
      <c r="C5" s="135">
        <v>2</v>
      </c>
      <c r="D5" s="135">
        <v>3</v>
      </c>
      <c r="E5" s="135">
        <v>4</v>
      </c>
      <c r="F5" s="118"/>
    </row>
    <row r="6" spans="2:6" x14ac:dyDescent="0.25">
      <c r="B6" s="98" t="s">
        <v>10</v>
      </c>
      <c r="C6" s="98" t="s">
        <v>347</v>
      </c>
      <c r="D6" s="148">
        <f>'E&amp;D'!F11</f>
        <v>209.23545030002887</v>
      </c>
      <c r="E6" s="15"/>
      <c r="F6" s="148">
        <f>'E&amp;D'!E11</f>
        <v>214.93616587679085</v>
      </c>
    </row>
    <row r="7" spans="2:6" x14ac:dyDescent="0.25">
      <c r="B7" s="98" t="s">
        <v>21</v>
      </c>
      <c r="C7" s="98" t="s">
        <v>351</v>
      </c>
      <c r="D7" s="148">
        <f>'E&amp;D'!F17</f>
        <v>488.21605070006729</v>
      </c>
      <c r="E7" s="15"/>
      <c r="F7" s="148">
        <f>'E&amp;D'!E17</f>
        <v>501.51772037917857</v>
      </c>
    </row>
    <row r="8" spans="2:6" x14ac:dyDescent="0.25">
      <c r="B8" s="135" t="s">
        <v>30</v>
      </c>
      <c r="C8" s="135" t="s">
        <v>73</v>
      </c>
      <c r="D8" s="40">
        <f>D6+D7</f>
        <v>697.45150100009619</v>
      </c>
      <c r="E8" s="135" t="s">
        <v>355</v>
      </c>
      <c r="F8" s="223">
        <f>F6+F7</f>
        <v>716.45388625596945</v>
      </c>
    </row>
    <row r="9" spans="2:6" x14ac:dyDescent="0.25">
      <c r="B9" s="98" t="s">
        <v>50</v>
      </c>
      <c r="C9" s="98" t="s">
        <v>341</v>
      </c>
      <c r="D9" s="50">
        <f>(D6/D8)</f>
        <v>0.30000000000000004</v>
      </c>
      <c r="E9" s="98" t="s">
        <v>356</v>
      </c>
      <c r="F9" s="152">
        <f>(F6/F8)</f>
        <v>0.30000000000000004</v>
      </c>
    </row>
    <row r="10" spans="2:6" x14ac:dyDescent="0.25">
      <c r="B10" s="98" t="s">
        <v>52</v>
      </c>
      <c r="C10" s="98" t="s">
        <v>308</v>
      </c>
      <c r="D10" s="50">
        <f>(D7/D8)</f>
        <v>0.7</v>
      </c>
      <c r="E10" s="98" t="s">
        <v>357</v>
      </c>
      <c r="F10" s="152">
        <f>F7/F8</f>
        <v>0.7</v>
      </c>
    </row>
    <row r="11" spans="2:6" x14ac:dyDescent="0.25">
      <c r="B11" s="98" t="s">
        <v>54</v>
      </c>
      <c r="C11" s="98" t="s">
        <v>358</v>
      </c>
      <c r="D11" s="50">
        <v>0.16</v>
      </c>
      <c r="E11" s="98"/>
      <c r="F11" s="152">
        <v>0.16</v>
      </c>
    </row>
    <row r="12" spans="2:6" x14ac:dyDescent="0.25">
      <c r="B12" s="98" t="s">
        <v>58</v>
      </c>
      <c r="C12" s="98" t="s">
        <v>359</v>
      </c>
      <c r="D12" s="35">
        <v>0.115</v>
      </c>
      <c r="E12" s="98"/>
      <c r="F12" s="149">
        <v>0.115</v>
      </c>
    </row>
    <row r="13" spans="2:6" ht="30" x14ac:dyDescent="0.25">
      <c r="B13" s="98" t="s">
        <v>61</v>
      </c>
      <c r="C13" s="98" t="s">
        <v>360</v>
      </c>
      <c r="D13" s="37">
        <f>((D6*D11)+(D7*D12))/D8</f>
        <v>0.1285</v>
      </c>
      <c r="E13" s="98" t="s">
        <v>361</v>
      </c>
      <c r="F13" s="37">
        <f>((F6*F11)+(F7*F12))/F8</f>
        <v>0.1285</v>
      </c>
    </row>
    <row r="14" spans="2:6" x14ac:dyDescent="0.25">
      <c r="D14" s="153"/>
    </row>
    <row r="15" spans="2:6" x14ac:dyDescent="0.25">
      <c r="B15" s="274" t="s">
        <v>850</v>
      </c>
      <c r="C15" s="274"/>
      <c r="D15" s="274"/>
      <c r="E15" s="90"/>
    </row>
    <row r="16" spans="2:6" x14ac:dyDescent="0.25">
      <c r="B16" s="151"/>
      <c r="C16" s="151"/>
      <c r="D16" s="151"/>
      <c r="E16" s="90"/>
    </row>
    <row r="17" spans="2:5" x14ac:dyDescent="0.25">
      <c r="B17" s="135" t="s">
        <v>100</v>
      </c>
      <c r="C17" s="135" t="s">
        <v>6</v>
      </c>
      <c r="D17" s="52" t="s">
        <v>254</v>
      </c>
    </row>
    <row r="18" spans="2:5" x14ac:dyDescent="0.25">
      <c r="B18" s="135">
        <v>1</v>
      </c>
      <c r="C18" s="135">
        <v>2</v>
      </c>
      <c r="D18" s="118">
        <v>3</v>
      </c>
    </row>
    <row r="19" spans="2:5" x14ac:dyDescent="0.25">
      <c r="B19" s="98" t="s">
        <v>10</v>
      </c>
      <c r="C19" s="98" t="s">
        <v>341</v>
      </c>
      <c r="D19" s="129">
        <f>F6</f>
        <v>214.93616587679085</v>
      </c>
      <c r="E19" s="130"/>
    </row>
    <row r="20" spans="2:5" x14ac:dyDescent="0.25">
      <c r="B20" s="98" t="s">
        <v>21</v>
      </c>
      <c r="C20" s="98" t="s">
        <v>308</v>
      </c>
      <c r="D20" s="129">
        <f t="shared" ref="D20:D23" si="0">F7</f>
        <v>501.51772037917857</v>
      </c>
      <c r="E20" s="130"/>
    </row>
    <row r="21" spans="2:5" x14ac:dyDescent="0.25">
      <c r="B21" s="135" t="s">
        <v>30</v>
      </c>
      <c r="C21" s="135" t="s">
        <v>73</v>
      </c>
      <c r="D21" s="129">
        <f t="shared" si="0"/>
        <v>716.45388625596945</v>
      </c>
      <c r="E21" s="130"/>
    </row>
    <row r="22" spans="2:5" x14ac:dyDescent="0.25">
      <c r="B22" s="98" t="s">
        <v>50</v>
      </c>
      <c r="C22" s="98" t="s">
        <v>341</v>
      </c>
      <c r="D22" s="152">
        <f t="shared" si="0"/>
        <v>0.30000000000000004</v>
      </c>
      <c r="E22" s="154"/>
    </row>
    <row r="23" spans="2:5" x14ac:dyDescent="0.25">
      <c r="B23" s="98" t="s">
        <v>52</v>
      </c>
      <c r="C23" s="98" t="s">
        <v>308</v>
      </c>
      <c r="D23" s="152">
        <f t="shared" si="0"/>
        <v>0.7</v>
      </c>
      <c r="E23" s="154"/>
    </row>
    <row r="24" spans="2:5" x14ac:dyDescent="0.25">
      <c r="B24" s="98" t="s">
        <v>54</v>
      </c>
      <c r="C24" s="98" t="s">
        <v>358</v>
      </c>
      <c r="D24" s="152">
        <v>0.16</v>
      </c>
      <c r="E24" s="154"/>
    </row>
    <row r="25" spans="2:5" x14ac:dyDescent="0.25">
      <c r="B25" s="98" t="s">
        <v>58</v>
      </c>
      <c r="C25" s="98" t="s">
        <v>359</v>
      </c>
      <c r="D25" s="149">
        <v>0.115</v>
      </c>
      <c r="E25" s="155"/>
    </row>
    <row r="26" spans="2:5" ht="30" x14ac:dyDescent="0.25">
      <c r="B26" s="98" t="s">
        <v>61</v>
      </c>
      <c r="C26" s="98" t="s">
        <v>360</v>
      </c>
      <c r="D26" s="37">
        <f>((D19*D24)+(D20*D25))/D21</f>
        <v>0.1285</v>
      </c>
      <c r="E26" s="155"/>
    </row>
  </sheetData>
  <customSheetViews>
    <customSheetView guid="{9CE83D47-1940-43F4-9510-4E48915AF617}">
      <selection activeCell="B2" sqref="B2:E13"/>
      <pageMargins left="0.7" right="0.7" top="0.75" bottom="0.75" header="0.3" footer="0.3"/>
    </customSheetView>
  </customSheetViews>
  <mergeCells count="2">
    <mergeCell ref="B15:D15"/>
    <mergeCell ref="B2:F2"/>
  </mergeCells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15"/>
  <sheetViews>
    <sheetView topLeftCell="A3" workbookViewId="0">
      <selection activeCell="B17" sqref="B17"/>
    </sheetView>
  </sheetViews>
  <sheetFormatPr defaultRowHeight="15" x14ac:dyDescent="0.25"/>
  <cols>
    <col min="1" max="2" width="9.140625" style="2"/>
    <col min="3" max="3" width="24.85546875" style="2" customWidth="1"/>
    <col min="4" max="4" width="15.42578125" style="2" customWidth="1"/>
    <col min="5" max="16384" width="9.140625" style="2"/>
  </cols>
  <sheetData>
    <row r="2" spans="2:6" ht="15" customHeight="1" x14ac:dyDescent="0.25">
      <c r="B2" s="239" t="s">
        <v>851</v>
      </c>
      <c r="C2" s="239"/>
      <c r="D2" s="239"/>
      <c r="E2" s="239"/>
      <c r="F2" s="239"/>
    </row>
    <row r="4" spans="2:6" x14ac:dyDescent="0.25">
      <c r="B4" s="10" t="s">
        <v>100</v>
      </c>
      <c r="C4" s="10" t="s">
        <v>6</v>
      </c>
      <c r="D4" s="10" t="s">
        <v>882</v>
      </c>
      <c r="E4" s="10" t="s">
        <v>9</v>
      </c>
      <c r="F4" s="164" t="s">
        <v>830</v>
      </c>
    </row>
    <row r="5" spans="2:6" x14ac:dyDescent="0.25">
      <c r="B5" s="10">
        <v>1</v>
      </c>
      <c r="C5" s="10">
        <v>2</v>
      </c>
      <c r="D5" s="10">
        <v>3</v>
      </c>
      <c r="E5" s="10">
        <v>4</v>
      </c>
      <c r="F5" s="98"/>
    </row>
    <row r="6" spans="2:6" x14ac:dyDescent="0.25">
      <c r="B6" s="5" t="s">
        <v>10</v>
      </c>
      <c r="C6" s="5" t="s">
        <v>341</v>
      </c>
      <c r="D6" s="36">
        <f>WACC!D6</f>
        <v>209.23545030002887</v>
      </c>
      <c r="E6" s="5"/>
      <c r="F6" s="36">
        <f>WACC!F6</f>
        <v>214.93616587679085</v>
      </c>
    </row>
    <row r="7" spans="2:6" x14ac:dyDescent="0.25">
      <c r="B7" s="5" t="s">
        <v>21</v>
      </c>
      <c r="C7" s="5" t="s">
        <v>308</v>
      </c>
      <c r="D7" s="36">
        <f>WACC!D7</f>
        <v>488.21605070006729</v>
      </c>
      <c r="E7" s="5"/>
      <c r="F7" s="36">
        <f>WACC!F7</f>
        <v>501.51772037917857</v>
      </c>
    </row>
    <row r="8" spans="2:6" x14ac:dyDescent="0.25">
      <c r="B8" s="10" t="s">
        <v>30</v>
      </c>
      <c r="C8" s="10" t="s">
        <v>73</v>
      </c>
      <c r="D8" s="40">
        <f>D6+D7</f>
        <v>697.45150100009619</v>
      </c>
      <c r="E8" s="206" t="s">
        <v>367</v>
      </c>
      <c r="F8" s="40">
        <f>F6+F7</f>
        <v>716.45388625596945</v>
      </c>
    </row>
    <row r="9" spans="2:6" x14ac:dyDescent="0.25">
      <c r="B9" s="5" t="s">
        <v>50</v>
      </c>
      <c r="C9" s="5" t="s">
        <v>362</v>
      </c>
      <c r="D9" s="50">
        <v>0.16</v>
      </c>
      <c r="E9" s="5"/>
      <c r="F9" s="50">
        <v>0.16</v>
      </c>
    </row>
    <row r="10" spans="2:6" x14ac:dyDescent="0.25">
      <c r="B10" s="5" t="s">
        <v>52</v>
      </c>
      <c r="C10" s="5" t="s">
        <v>363</v>
      </c>
      <c r="D10" s="35">
        <v>0.115</v>
      </c>
      <c r="E10" s="5"/>
      <c r="F10" s="35">
        <v>0.115</v>
      </c>
    </row>
    <row r="11" spans="2:6" x14ac:dyDescent="0.25">
      <c r="B11" s="5" t="s">
        <v>54</v>
      </c>
      <c r="C11" s="5" t="s">
        <v>364</v>
      </c>
      <c r="D11" s="36">
        <f>RRB!D23</f>
        <v>699.61983482158689</v>
      </c>
      <c r="E11" s="5"/>
      <c r="F11" s="36">
        <f>RRB!F23</f>
        <v>719.96899517860561</v>
      </c>
    </row>
    <row r="12" spans="2:6" x14ac:dyDescent="0.25">
      <c r="B12" s="207" t="s">
        <v>58</v>
      </c>
      <c r="C12" s="207" t="s">
        <v>365</v>
      </c>
      <c r="D12" s="58">
        <f>WACC!D13</f>
        <v>0.1285</v>
      </c>
      <c r="E12" s="207" t="s">
        <v>368</v>
      </c>
      <c r="F12" s="35">
        <f>WACC!F13</f>
        <v>0.1285</v>
      </c>
    </row>
    <row r="13" spans="2:6" s="190" customFormat="1" x14ac:dyDescent="0.25">
      <c r="B13" s="207" t="s">
        <v>61</v>
      </c>
      <c r="C13" s="207" t="s">
        <v>366</v>
      </c>
      <c r="D13" s="78">
        <f>$D$11*$D$12</f>
        <v>89.901148774573912</v>
      </c>
      <c r="E13" s="207"/>
      <c r="F13" s="78">
        <f>$F$11*$F$12</f>
        <v>92.516015880450823</v>
      </c>
    </row>
    <row r="14" spans="2:6" s="190" customFormat="1" x14ac:dyDescent="0.25">
      <c r="B14" s="207" t="s">
        <v>63</v>
      </c>
      <c r="C14" s="207" t="s">
        <v>982</v>
      </c>
      <c r="D14" s="58"/>
      <c r="E14" s="207"/>
      <c r="F14" s="78">
        <f>'T12'!F63</f>
        <v>13.314717246624411</v>
      </c>
    </row>
    <row r="15" spans="2:6" x14ac:dyDescent="0.25">
      <c r="B15" s="10" t="s">
        <v>65</v>
      </c>
      <c r="C15" s="10" t="s">
        <v>988</v>
      </c>
      <c r="D15" s="40">
        <f>SUM(D13:D14)</f>
        <v>89.901148774573912</v>
      </c>
      <c r="E15" s="10"/>
      <c r="F15" s="40">
        <f>SUM(F13:F14)</f>
        <v>105.83073312707523</v>
      </c>
    </row>
  </sheetData>
  <customSheetViews>
    <customSheetView guid="{9CE83D47-1940-43F4-9510-4E48915AF617}">
      <selection activeCell="B4" sqref="B4:E4"/>
      <pageMargins left="0.7" right="0.7" top="0.75" bottom="0.75" header="0.3" footer="0.3"/>
    </customSheetView>
  </customSheetViews>
  <mergeCells count="1">
    <mergeCell ref="B2:F2"/>
  </mergeCells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workbookViewId="0">
      <selection activeCell="B2" sqref="B2:E14"/>
    </sheetView>
  </sheetViews>
  <sheetFormatPr defaultRowHeight="15" x14ac:dyDescent="0.25"/>
  <cols>
    <col min="3" max="3" width="30.140625" customWidth="1"/>
    <col min="4" max="4" width="18.42578125" bestFit="1" customWidth="1"/>
  </cols>
  <sheetData>
    <row r="2" spans="2:7" x14ac:dyDescent="0.25">
      <c r="B2" s="275" t="s">
        <v>853</v>
      </c>
      <c r="C2" s="275"/>
      <c r="D2" s="275"/>
      <c r="E2" s="275"/>
    </row>
    <row r="4" spans="2:7" x14ac:dyDescent="0.25">
      <c r="B4" s="10" t="s">
        <v>100</v>
      </c>
      <c r="C4" s="10" t="s">
        <v>6</v>
      </c>
      <c r="D4" s="10" t="s">
        <v>254</v>
      </c>
      <c r="E4" s="10" t="s">
        <v>9</v>
      </c>
      <c r="G4" s="137"/>
    </row>
    <row r="5" spans="2:7" x14ac:dyDescent="0.25">
      <c r="B5" s="10">
        <v>1</v>
      </c>
      <c r="C5" s="10">
        <v>2</v>
      </c>
      <c r="D5" s="10">
        <v>3</v>
      </c>
      <c r="E5" s="10">
        <v>4</v>
      </c>
      <c r="G5" s="137"/>
    </row>
    <row r="6" spans="2:7" x14ac:dyDescent="0.25">
      <c r="B6" s="10" t="s">
        <v>10</v>
      </c>
      <c r="C6" s="10" t="s">
        <v>369</v>
      </c>
      <c r="D6" s="36">
        <f>(RRB!D21+RRB!D13)/2</f>
        <v>697.45150100009641</v>
      </c>
      <c r="E6" s="5"/>
      <c r="G6" s="137"/>
    </row>
    <row r="7" spans="2:7" x14ac:dyDescent="0.25">
      <c r="B7" s="5" t="s">
        <v>21</v>
      </c>
      <c r="C7" s="5" t="s">
        <v>370</v>
      </c>
      <c r="D7" s="36">
        <f>D6*0.3</f>
        <v>209.23545030002893</v>
      </c>
      <c r="E7" s="5"/>
      <c r="G7" s="137"/>
    </row>
    <row r="8" spans="2:7" x14ac:dyDescent="0.25">
      <c r="B8" s="5" t="s">
        <v>30</v>
      </c>
      <c r="C8" s="5" t="s">
        <v>371</v>
      </c>
      <c r="D8" s="36">
        <f>D6*0.7</f>
        <v>488.21605070006746</v>
      </c>
      <c r="E8" s="5"/>
      <c r="G8" s="137"/>
    </row>
    <row r="9" spans="2:7" x14ac:dyDescent="0.25">
      <c r="B9" s="5" t="s">
        <v>50</v>
      </c>
      <c r="C9" s="5" t="s">
        <v>372</v>
      </c>
      <c r="D9" s="68">
        <f>D7/D6</f>
        <v>0.3</v>
      </c>
      <c r="E9" s="5"/>
      <c r="G9" s="137"/>
    </row>
    <row r="10" spans="2:7" ht="30" x14ac:dyDescent="0.25">
      <c r="B10" s="10" t="s">
        <v>52</v>
      </c>
      <c r="C10" s="10" t="s">
        <v>373</v>
      </c>
      <c r="D10" s="40">
        <f>D7</f>
        <v>209.23545030002893</v>
      </c>
      <c r="E10" s="10"/>
      <c r="G10" s="137"/>
    </row>
    <row r="11" spans="2:7" x14ac:dyDescent="0.25">
      <c r="B11" s="5" t="s">
        <v>54</v>
      </c>
      <c r="C11" s="5" t="s">
        <v>374</v>
      </c>
      <c r="D11" s="50">
        <v>0.16</v>
      </c>
      <c r="E11" s="5"/>
      <c r="G11" s="137"/>
    </row>
    <row r="12" spans="2:7" x14ac:dyDescent="0.25">
      <c r="B12" s="5" t="s">
        <v>58</v>
      </c>
      <c r="C12" s="5" t="s">
        <v>358</v>
      </c>
      <c r="D12" s="36">
        <f>D10*D11</f>
        <v>33.477672048004628</v>
      </c>
      <c r="E12" s="5"/>
      <c r="G12" s="137"/>
    </row>
    <row r="13" spans="2:7" x14ac:dyDescent="0.25">
      <c r="B13" s="5" t="s">
        <v>61</v>
      </c>
      <c r="C13" s="5" t="s">
        <v>375</v>
      </c>
      <c r="D13" s="35">
        <v>0</v>
      </c>
      <c r="E13" s="5"/>
      <c r="G13" s="137"/>
    </row>
    <row r="14" spans="2:7" x14ac:dyDescent="0.25">
      <c r="B14" s="10" t="s">
        <v>63</v>
      </c>
      <c r="C14" s="10" t="s">
        <v>376</v>
      </c>
      <c r="D14" s="40">
        <f>D12*D13</f>
        <v>0</v>
      </c>
      <c r="E14" s="10"/>
      <c r="G14" s="137"/>
    </row>
  </sheetData>
  <customSheetViews>
    <customSheetView guid="{9CE83D47-1940-43F4-9510-4E48915AF617}">
      <selection activeCell="D10" sqref="D10:E10"/>
      <pageMargins left="0.7" right="0.7" top="0.75" bottom="0.75" header="0.3" footer="0.3"/>
    </customSheetView>
  </customSheetViews>
  <mergeCells count="1">
    <mergeCell ref="B2:E2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2"/>
  <sheetViews>
    <sheetView topLeftCell="B1" workbookViewId="0">
      <selection activeCell="B2" sqref="B2:F2"/>
    </sheetView>
  </sheetViews>
  <sheetFormatPr defaultRowHeight="15" x14ac:dyDescent="0.25"/>
  <cols>
    <col min="1" max="2" width="9.140625" style="119"/>
    <col min="3" max="3" width="21" style="119" customWidth="1"/>
    <col min="4" max="4" width="18" style="119" customWidth="1"/>
    <col min="5" max="5" width="20.42578125" style="119" customWidth="1"/>
    <col min="6" max="16384" width="9.140625" style="119"/>
  </cols>
  <sheetData>
    <row r="2" spans="2:6" x14ac:dyDescent="0.25">
      <c r="B2" s="256" t="s">
        <v>855</v>
      </c>
      <c r="C2" s="256"/>
      <c r="D2" s="256"/>
      <c r="E2" s="256"/>
      <c r="F2" s="256"/>
    </row>
    <row r="4" spans="2:6" x14ac:dyDescent="0.25">
      <c r="B4" s="99" t="s">
        <v>5</v>
      </c>
      <c r="C4" s="14" t="s">
        <v>6</v>
      </c>
      <c r="D4" s="14" t="s">
        <v>882</v>
      </c>
      <c r="E4" s="14" t="s">
        <v>9</v>
      </c>
      <c r="F4" s="205" t="s">
        <v>830</v>
      </c>
    </row>
    <row r="5" spans="2:6" ht="30" x14ac:dyDescent="0.25">
      <c r="B5" s="98" t="s">
        <v>10</v>
      </c>
      <c r="C5" s="13" t="s">
        <v>377</v>
      </c>
      <c r="D5" s="69">
        <f>(100%+Assumption!$E$14)*'T9'!D5</f>
        <v>1.298</v>
      </c>
      <c r="E5" s="13"/>
      <c r="F5" s="118"/>
    </row>
    <row r="6" spans="2:6" ht="30" x14ac:dyDescent="0.25">
      <c r="B6" s="98" t="s">
        <v>21</v>
      </c>
      <c r="C6" s="13" t="s">
        <v>378</v>
      </c>
      <c r="D6" s="69">
        <f>(100%+Assumption!$E$14)*'T9'!D6</f>
        <v>0</v>
      </c>
      <c r="E6" s="13"/>
      <c r="F6" s="118"/>
    </row>
    <row r="7" spans="2:6" x14ac:dyDescent="0.25">
      <c r="B7" s="98" t="s">
        <v>30</v>
      </c>
      <c r="C7" s="13" t="s">
        <v>379</v>
      </c>
      <c r="D7" s="69">
        <f>(100%+Assumption!$E$14)*'T9'!D7</f>
        <v>0.66770000000000007</v>
      </c>
      <c r="E7" s="13"/>
      <c r="F7" s="118"/>
    </row>
    <row r="8" spans="2:6" x14ac:dyDescent="0.25">
      <c r="B8" s="98" t="s">
        <v>50</v>
      </c>
      <c r="C8" s="13" t="s">
        <v>380</v>
      </c>
      <c r="D8" s="69">
        <f>(100%+Assumption!$E$14)*'T9'!D8</f>
        <v>4.6310000000000002</v>
      </c>
      <c r="E8" s="13"/>
      <c r="F8" s="118">
        <v>4.13</v>
      </c>
    </row>
    <row r="9" spans="2:6" ht="30" x14ac:dyDescent="0.25">
      <c r="B9" s="98" t="s">
        <v>52</v>
      </c>
      <c r="C9" s="13" t="s">
        <v>381</v>
      </c>
      <c r="D9" s="69">
        <f>(100%+Assumption!$E$14)*'T9'!D9</f>
        <v>0</v>
      </c>
      <c r="E9" s="13"/>
      <c r="F9" s="118"/>
    </row>
    <row r="10" spans="2:6" x14ac:dyDescent="0.25">
      <c r="B10" s="98" t="s">
        <v>54</v>
      </c>
      <c r="C10" s="13" t="s">
        <v>382</v>
      </c>
      <c r="D10" s="69">
        <f>(100%+Assumption!$E$14)*'T9'!D10</f>
        <v>3.96E-3</v>
      </c>
      <c r="E10" s="13"/>
      <c r="F10" s="118"/>
    </row>
    <row r="11" spans="2:6" x14ac:dyDescent="0.25">
      <c r="B11" s="98" t="s">
        <v>58</v>
      </c>
      <c r="C11" s="13" t="s">
        <v>383</v>
      </c>
      <c r="D11" s="69">
        <f>(100%+Assumption!$E$14)*'T9'!D11</f>
        <v>5.313E-7</v>
      </c>
      <c r="E11" s="13"/>
      <c r="F11" s="118"/>
    </row>
    <row r="12" spans="2:6" ht="45" x14ac:dyDescent="0.25">
      <c r="B12" s="98" t="s">
        <v>61</v>
      </c>
      <c r="C12" s="13" t="s">
        <v>384</v>
      </c>
      <c r="D12" s="69">
        <f>(100%+Assumption!$E$14)*'T9'!D12</f>
        <v>0</v>
      </c>
      <c r="E12" s="13"/>
      <c r="F12" s="118"/>
    </row>
    <row r="13" spans="2:6" x14ac:dyDescent="0.25">
      <c r="B13" s="98" t="s">
        <v>63</v>
      </c>
      <c r="C13" s="13" t="s">
        <v>385</v>
      </c>
      <c r="D13" s="69">
        <f>(100%+Assumption!$E$14)*'T9'!D13</f>
        <v>0</v>
      </c>
      <c r="E13" s="13"/>
      <c r="F13" s="118"/>
    </row>
    <row r="14" spans="2:6" x14ac:dyDescent="0.25">
      <c r="B14" s="98" t="s">
        <v>65</v>
      </c>
      <c r="C14" s="13" t="s">
        <v>386</v>
      </c>
      <c r="D14" s="69">
        <f>(100%+Assumption!$E$14)*'T9'!D14</f>
        <v>4.9500000000000002E-2</v>
      </c>
      <c r="E14" s="13"/>
      <c r="F14" s="118">
        <v>0.06</v>
      </c>
    </row>
    <row r="15" spans="2:6" ht="30" x14ac:dyDescent="0.25">
      <c r="B15" s="98" t="s">
        <v>67</v>
      </c>
      <c r="C15" s="13" t="s">
        <v>387</v>
      </c>
      <c r="D15" s="69">
        <f>(100%+Assumption!$E$14)*'T9'!D15</f>
        <v>0</v>
      </c>
      <c r="E15" s="13"/>
      <c r="F15" s="118"/>
    </row>
    <row r="16" spans="2:6" ht="45" x14ac:dyDescent="0.25">
      <c r="B16" s="98" t="s">
        <v>69</v>
      </c>
      <c r="C16" s="13" t="s">
        <v>388</v>
      </c>
      <c r="D16" s="69">
        <f>(100%+Assumption!$E$14)*'T9'!D16</f>
        <v>0.37730000000000008</v>
      </c>
      <c r="E16" s="13"/>
      <c r="F16" s="118">
        <v>0.56000000000000005</v>
      </c>
    </row>
    <row r="17" spans="2:6" ht="30" x14ac:dyDescent="0.25">
      <c r="B17" s="98" t="s">
        <v>71</v>
      </c>
      <c r="C17" s="13" t="s">
        <v>389</v>
      </c>
      <c r="D17" s="69">
        <f>(100%+Assumption!$E$14)*'T9'!D17</f>
        <v>0.55000000000000004</v>
      </c>
      <c r="E17" s="13"/>
      <c r="F17" s="118">
        <v>-0.6</v>
      </c>
    </row>
    <row r="18" spans="2:6" x14ac:dyDescent="0.25">
      <c r="B18" s="98" t="s">
        <v>241</v>
      </c>
      <c r="C18" s="14" t="s">
        <v>73</v>
      </c>
      <c r="D18" s="69">
        <f>(100%+Assumption!$E$14)*'T9'!D18</f>
        <v>7.5774605312999999</v>
      </c>
      <c r="E18" s="14"/>
      <c r="F18" s="118">
        <v>4.1500000000000004</v>
      </c>
    </row>
    <row r="22" spans="2:6" x14ac:dyDescent="0.25">
      <c r="D22" s="130"/>
    </row>
  </sheetData>
  <customSheetViews>
    <customSheetView guid="{9CE83D47-1940-43F4-9510-4E48915AF617}">
      <selection activeCell="F1" sqref="F1"/>
      <pageMargins left="0.7" right="0.7" top="0.75" bottom="0.75" header="0.3" footer="0.3"/>
    </customSheetView>
  </customSheetViews>
  <mergeCells count="1">
    <mergeCell ref="B2:F2"/>
  </mergeCells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18"/>
  <sheetViews>
    <sheetView topLeftCell="B1" workbookViewId="0">
      <selection activeCell="E16" sqref="E16"/>
    </sheetView>
  </sheetViews>
  <sheetFormatPr defaultRowHeight="15" x14ac:dyDescent="0.25"/>
  <cols>
    <col min="1" max="2" width="9.140625" style="2"/>
    <col min="3" max="3" width="29.42578125" style="2" customWidth="1"/>
    <col min="4" max="4" width="17" style="2" customWidth="1"/>
    <col min="5" max="5" width="21.42578125" style="2" customWidth="1"/>
    <col min="6" max="6" width="10.140625" style="2" bestFit="1" customWidth="1"/>
    <col min="7" max="7" width="10.140625" style="165" customWidth="1"/>
    <col min="8" max="16384" width="9.140625" style="2"/>
  </cols>
  <sheetData>
    <row r="2" spans="2:7" ht="15" customHeight="1" x14ac:dyDescent="0.25">
      <c r="B2" s="239" t="s">
        <v>390</v>
      </c>
      <c r="C2" s="239"/>
      <c r="D2" s="239"/>
      <c r="E2" s="239"/>
      <c r="F2" s="239"/>
    </row>
    <row r="4" spans="2:7" x14ac:dyDescent="0.25">
      <c r="B4" s="10" t="s">
        <v>5</v>
      </c>
      <c r="C4" s="10" t="s">
        <v>6</v>
      </c>
      <c r="D4" s="10" t="s">
        <v>882</v>
      </c>
      <c r="E4" s="10" t="s">
        <v>9</v>
      </c>
      <c r="F4" s="189" t="s">
        <v>830</v>
      </c>
      <c r="G4" s="192"/>
    </row>
    <row r="5" spans="2:7" x14ac:dyDescent="0.25">
      <c r="B5" s="10">
        <v>1</v>
      </c>
      <c r="C5" s="10">
        <v>2</v>
      </c>
      <c r="D5" s="10">
        <v>3</v>
      </c>
      <c r="E5" s="10">
        <v>4</v>
      </c>
      <c r="F5" s="189">
        <v>5</v>
      </c>
    </row>
    <row r="6" spans="2:7" x14ac:dyDescent="0.25">
      <c r="B6" s="5" t="s">
        <v>10</v>
      </c>
      <c r="C6" s="5" t="s">
        <v>1020</v>
      </c>
      <c r="D6" s="36">
        <v>-121.46</v>
      </c>
      <c r="E6" s="5" t="s">
        <v>872</v>
      </c>
      <c r="F6" s="98">
        <f>Assumption!D27</f>
        <v>-148.87</v>
      </c>
      <c r="G6" s="6"/>
    </row>
    <row r="7" spans="2:7" ht="30" x14ac:dyDescent="0.25">
      <c r="B7" s="5" t="s">
        <v>21</v>
      </c>
      <c r="C7" s="5" t="s">
        <v>1021</v>
      </c>
      <c r="D7" s="36">
        <f>'T14'!E17</f>
        <v>1371.5449477421612</v>
      </c>
      <c r="E7" s="5"/>
      <c r="F7" s="98">
        <f>Assumption!D28</f>
        <v>1015.58</v>
      </c>
      <c r="G7" s="6"/>
    </row>
    <row r="8" spans="2:7" x14ac:dyDescent="0.25">
      <c r="B8" s="5" t="s">
        <v>30</v>
      </c>
      <c r="C8" s="5" t="s">
        <v>1022</v>
      </c>
      <c r="D8" s="5">
        <f>'T3'!D17</f>
        <v>918.92</v>
      </c>
      <c r="E8" s="5"/>
      <c r="F8" s="98">
        <f>Assumption!D29</f>
        <v>866.09</v>
      </c>
      <c r="G8" s="6"/>
    </row>
    <row r="9" spans="2:7" x14ac:dyDescent="0.25">
      <c r="B9" s="5" t="s">
        <v>50</v>
      </c>
      <c r="C9" s="5" t="s">
        <v>1023</v>
      </c>
      <c r="D9" s="36">
        <f>D8-D7</f>
        <v>-452.62494774216123</v>
      </c>
      <c r="E9" s="5" t="s">
        <v>394</v>
      </c>
      <c r="F9" s="98">
        <f>Assumption!D29-F7</f>
        <v>-149.49</v>
      </c>
      <c r="G9" s="6"/>
    </row>
    <row r="10" spans="2:7" x14ac:dyDescent="0.25">
      <c r="B10" s="5" t="s">
        <v>52</v>
      </c>
      <c r="C10" s="5" t="s">
        <v>1024</v>
      </c>
      <c r="D10" s="5"/>
      <c r="E10" s="5"/>
      <c r="F10" s="35">
        <v>0</v>
      </c>
      <c r="G10" s="179"/>
    </row>
    <row r="11" spans="2:7" x14ac:dyDescent="0.25">
      <c r="B11" s="5" t="s">
        <v>54</v>
      </c>
      <c r="C11" s="5" t="s">
        <v>1025</v>
      </c>
      <c r="D11" s="36">
        <f>D9-D10</f>
        <v>-452.62494774216123</v>
      </c>
      <c r="E11" s="5" t="s">
        <v>395</v>
      </c>
      <c r="F11" s="36">
        <f>F9-F10</f>
        <v>-149.49</v>
      </c>
      <c r="G11" s="178"/>
    </row>
    <row r="12" spans="2:7" ht="30" x14ac:dyDescent="0.25">
      <c r="B12" s="5" t="s">
        <v>58</v>
      </c>
      <c r="C12" s="5" t="s">
        <v>391</v>
      </c>
      <c r="D12" s="35">
        <f>Assumption!D30</f>
        <v>0.115</v>
      </c>
      <c r="E12" s="5" t="s">
        <v>873</v>
      </c>
      <c r="F12" s="35">
        <f>Assumption!E30</f>
        <v>0.115</v>
      </c>
      <c r="G12" s="179"/>
    </row>
    <row r="13" spans="2:7" x14ac:dyDescent="0.25">
      <c r="B13" s="5" t="s">
        <v>61</v>
      </c>
      <c r="C13" s="5" t="s">
        <v>392</v>
      </c>
      <c r="D13" s="36">
        <f>((D6*D12)+((D11*D12)/2))</f>
        <v>-39.993834495174269</v>
      </c>
      <c r="E13" s="5" t="s">
        <v>396</v>
      </c>
      <c r="F13" s="36">
        <f>(F6*F12)+(F11/2)*F12</f>
        <v>-25.715725000000006</v>
      </c>
      <c r="G13" s="178"/>
    </row>
    <row r="14" spans="2:7" ht="30" x14ac:dyDescent="0.25">
      <c r="B14" s="10" t="s">
        <v>63</v>
      </c>
      <c r="C14" s="10" t="s">
        <v>1026</v>
      </c>
      <c r="D14" s="40">
        <f>D6+D11+D13</f>
        <v>-614.07878223733553</v>
      </c>
      <c r="E14" s="10" t="s">
        <v>397</v>
      </c>
      <c r="F14" s="40">
        <f>F6+F11+F13</f>
        <v>-324.07572500000003</v>
      </c>
      <c r="G14" s="180"/>
    </row>
    <row r="15" spans="2:7" x14ac:dyDescent="0.25">
      <c r="B15" s="5" t="s">
        <v>65</v>
      </c>
      <c r="C15" s="5" t="s">
        <v>1027</v>
      </c>
      <c r="D15" s="36">
        <f>ARR!D16</f>
        <v>1188.1195503858446</v>
      </c>
      <c r="E15" s="5"/>
      <c r="F15" s="36">
        <f>ARR!F16</f>
        <v>1196.6284745310838</v>
      </c>
      <c r="G15" s="178"/>
    </row>
    <row r="16" spans="2:7" ht="30" x14ac:dyDescent="0.25">
      <c r="B16" s="5" t="s">
        <v>67</v>
      </c>
      <c r="C16" s="5" t="s">
        <v>391</v>
      </c>
      <c r="D16" s="35">
        <f>D12</f>
        <v>0.115</v>
      </c>
      <c r="E16" s="5"/>
      <c r="F16" s="35">
        <f>F12</f>
        <v>0.115</v>
      </c>
      <c r="G16" s="179"/>
    </row>
    <row r="17" spans="2:7" ht="111" customHeight="1" x14ac:dyDescent="0.25">
      <c r="B17" s="5" t="s">
        <v>69</v>
      </c>
      <c r="C17" s="5" t="s">
        <v>1028</v>
      </c>
      <c r="D17" s="36">
        <f>(D15+((-D14)*D16))/(1+(8%/2)*D16)</f>
        <v>1252.9749256849873</v>
      </c>
      <c r="E17" s="5" t="s">
        <v>887</v>
      </c>
      <c r="F17" s="36">
        <f>(F15+((-F14)*F16))/(1+(8%/2)*F16)</f>
        <v>1228.2472455764323</v>
      </c>
      <c r="G17" s="178"/>
    </row>
    <row r="18" spans="2:7" x14ac:dyDescent="0.25">
      <c r="B18" s="10" t="s">
        <v>71</v>
      </c>
      <c r="C18" s="10" t="s">
        <v>392</v>
      </c>
      <c r="D18" s="40">
        <f>D17-D15</f>
        <v>64.855375299142679</v>
      </c>
      <c r="E18" s="10" t="s">
        <v>393</v>
      </c>
      <c r="F18" s="40">
        <f>F17-F15</f>
        <v>31.618771045348467</v>
      </c>
      <c r="G18" s="180"/>
    </row>
  </sheetData>
  <customSheetViews>
    <customSheetView guid="{9CE83D47-1940-43F4-9510-4E48915AF617}">
      <pageMargins left="0.7" right="0.7" top="0.75" bottom="0.75" header="0.3" footer="0.3"/>
    </customSheetView>
  </customSheetViews>
  <mergeCells count="1">
    <mergeCell ref="B2:F2"/>
  </mergeCells>
  <pageMargins left="0.7" right="0.7" top="0.75" bottom="0.75" header="0.3" footer="0.3"/>
  <pageSetup paperSize="9" scale="90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0"/>
  <sheetViews>
    <sheetView topLeftCell="B1" workbookViewId="0">
      <selection activeCell="D18" sqref="D18"/>
    </sheetView>
  </sheetViews>
  <sheetFormatPr defaultRowHeight="15" x14ac:dyDescent="0.25"/>
  <cols>
    <col min="1" max="2" width="9.140625" style="224"/>
    <col min="3" max="3" width="36.140625" style="224" customWidth="1"/>
    <col min="4" max="4" width="14" style="224" customWidth="1"/>
    <col min="5" max="5" width="20.42578125" style="224" customWidth="1"/>
    <col min="6" max="16384" width="9.140625" style="224"/>
  </cols>
  <sheetData>
    <row r="2" spans="2:6" ht="15" customHeight="1" x14ac:dyDescent="0.25">
      <c r="B2" s="276" t="s">
        <v>1029</v>
      </c>
      <c r="C2" s="276"/>
      <c r="D2" s="276"/>
      <c r="E2" s="276"/>
      <c r="F2" s="276"/>
    </row>
    <row r="4" spans="2:6" x14ac:dyDescent="0.25">
      <c r="B4" s="14" t="s">
        <v>100</v>
      </c>
      <c r="C4" s="14" t="s">
        <v>6</v>
      </c>
      <c r="D4" s="14" t="s">
        <v>882</v>
      </c>
      <c r="E4" s="14" t="s">
        <v>106</v>
      </c>
      <c r="F4" s="208" t="s">
        <v>830</v>
      </c>
    </row>
    <row r="5" spans="2:6" x14ac:dyDescent="0.25">
      <c r="B5" s="14">
        <v>1</v>
      </c>
      <c r="C5" s="14">
        <v>2</v>
      </c>
      <c r="D5" s="14">
        <v>3</v>
      </c>
      <c r="E5" s="14">
        <v>4</v>
      </c>
      <c r="F5" s="208">
        <v>5</v>
      </c>
    </row>
    <row r="6" spans="2:6" ht="30" x14ac:dyDescent="0.25">
      <c r="B6" s="213" t="s">
        <v>10</v>
      </c>
      <c r="C6" s="16" t="s">
        <v>399</v>
      </c>
      <c r="D6" s="76">
        <f>'Total PPC'!E19</f>
        <v>875.45300214257099</v>
      </c>
      <c r="E6" s="16"/>
      <c r="F6" s="126">
        <f>'Total PPC'!L19</f>
        <v>865.14214540400872</v>
      </c>
    </row>
    <row r="7" spans="2:6" x14ac:dyDescent="0.25">
      <c r="B7" s="213" t="s">
        <v>21</v>
      </c>
      <c r="C7" s="16" t="s">
        <v>255</v>
      </c>
      <c r="D7" s="76">
        <f>'O&amp;M'!D16</f>
        <v>145.09439999999998</v>
      </c>
      <c r="E7" s="16"/>
      <c r="F7" s="126">
        <f>'O&amp;M'!F16</f>
        <v>145.09439999999998</v>
      </c>
    </row>
    <row r="8" spans="2:6" x14ac:dyDescent="0.25">
      <c r="B8" s="213" t="s">
        <v>30</v>
      </c>
      <c r="C8" s="16" t="s">
        <v>400</v>
      </c>
      <c r="D8" s="76">
        <f>'O&amp;M'!D24</f>
        <v>45.37</v>
      </c>
      <c r="E8" s="16"/>
      <c r="F8" s="126">
        <f>'O&amp;M'!F24</f>
        <v>45.37</v>
      </c>
    </row>
    <row r="9" spans="2:6" x14ac:dyDescent="0.25">
      <c r="B9" s="213" t="s">
        <v>50</v>
      </c>
      <c r="C9" s="16" t="s">
        <v>398</v>
      </c>
      <c r="D9" s="76">
        <f>Dep!D28</f>
        <v>39.878459999999997</v>
      </c>
      <c r="E9" s="16"/>
      <c r="F9" s="126">
        <f>'T10'!F74</f>
        <v>39.341195999999997</v>
      </c>
    </row>
    <row r="10" spans="2:6" x14ac:dyDescent="0.25">
      <c r="B10" s="213" t="s">
        <v>52</v>
      </c>
      <c r="C10" s="16" t="s">
        <v>300</v>
      </c>
      <c r="D10" s="16"/>
      <c r="E10" s="213"/>
      <c r="F10" s="213"/>
    </row>
    <row r="11" spans="2:6" x14ac:dyDescent="0.25">
      <c r="B11" s="213" t="s">
        <v>54</v>
      </c>
      <c r="C11" s="16" t="s">
        <v>401</v>
      </c>
      <c r="D11" s="76">
        <f>RoCE!D15</f>
        <v>89.901148774573912</v>
      </c>
      <c r="E11" s="16"/>
      <c r="F11" s="126">
        <f>'T12'!F64</f>
        <v>105.83073312707523</v>
      </c>
    </row>
    <row r="12" spans="2:6" x14ac:dyDescent="0.25">
      <c r="B12" s="213" t="s">
        <v>58</v>
      </c>
      <c r="C12" s="16" t="s">
        <v>376</v>
      </c>
      <c r="D12" s="76">
        <f>'Income Tax'!D14</f>
        <v>0</v>
      </c>
      <c r="E12" s="16"/>
      <c r="F12" s="183">
        <f>'Income Tax'!D13</f>
        <v>0</v>
      </c>
    </row>
    <row r="13" spans="2:6" x14ac:dyDescent="0.25">
      <c r="B13" s="208" t="s">
        <v>61</v>
      </c>
      <c r="C13" s="18" t="s">
        <v>402</v>
      </c>
      <c r="D13" s="77">
        <f>SUM(D6:D12)</f>
        <v>1195.6970109171446</v>
      </c>
      <c r="E13" s="18" t="s">
        <v>408</v>
      </c>
      <c r="F13" s="77">
        <f>SUM(F6:F12)</f>
        <v>1200.7784745310839</v>
      </c>
    </row>
    <row r="14" spans="2:6" x14ac:dyDescent="0.25">
      <c r="B14" s="213" t="s">
        <v>63</v>
      </c>
      <c r="C14" s="16" t="s">
        <v>403</v>
      </c>
      <c r="D14" s="76">
        <f>NTI!D18</f>
        <v>7.5774605312999999</v>
      </c>
      <c r="E14" s="16"/>
      <c r="F14" s="213">
        <v>4.1500000000000004</v>
      </c>
    </row>
    <row r="15" spans="2:6" x14ac:dyDescent="0.25">
      <c r="B15" s="213" t="s">
        <v>65</v>
      </c>
      <c r="C15" s="16" t="s">
        <v>404</v>
      </c>
      <c r="D15" s="213">
        <f>PPAC!F78</f>
        <v>0</v>
      </c>
      <c r="E15" s="213"/>
      <c r="F15" s="213"/>
    </row>
    <row r="16" spans="2:6" x14ac:dyDescent="0.25">
      <c r="B16" s="213" t="s">
        <v>67</v>
      </c>
      <c r="C16" s="18" t="s">
        <v>405</v>
      </c>
      <c r="D16" s="126">
        <f>D13-D14+D15</f>
        <v>1188.1195503858446</v>
      </c>
      <c r="E16" s="208" t="s">
        <v>409</v>
      </c>
      <c r="F16" s="126">
        <f>F13-F14+F15</f>
        <v>1196.6284745310838</v>
      </c>
    </row>
    <row r="17" spans="2:6" x14ac:dyDescent="0.25">
      <c r="B17" s="213" t="s">
        <v>69</v>
      </c>
      <c r="C17" s="16" t="s">
        <v>406</v>
      </c>
      <c r="D17" s="126">
        <f>CCR!D18</f>
        <v>64.855375299142679</v>
      </c>
      <c r="E17" s="213"/>
      <c r="F17" s="126">
        <f>CCR!F18</f>
        <v>31.618771045348467</v>
      </c>
    </row>
    <row r="18" spans="2:6" x14ac:dyDescent="0.25">
      <c r="B18" s="208" t="s">
        <v>71</v>
      </c>
      <c r="C18" s="18" t="s">
        <v>407</v>
      </c>
      <c r="D18" s="76">
        <f>D16+D17</f>
        <v>1252.9749256849873</v>
      </c>
      <c r="E18" s="18" t="s">
        <v>410</v>
      </c>
      <c r="F18" s="76">
        <f>F16+F17</f>
        <v>1228.2472455764323</v>
      </c>
    </row>
    <row r="19" spans="2:6" x14ac:dyDescent="0.25">
      <c r="C19" s="20"/>
    </row>
    <row r="20" spans="2:6" x14ac:dyDescent="0.25">
      <c r="D20" s="21"/>
      <c r="E20" s="22"/>
    </row>
  </sheetData>
  <customSheetViews>
    <customSheetView guid="{9CE83D47-1940-43F4-9510-4E48915AF617}">
      <selection activeCell="B6" sqref="B6:E18"/>
      <pageMargins left="0.7" right="0.7" top="0.75" bottom="0.75" header="0.3" footer="0.3"/>
    </customSheetView>
  </customSheetViews>
  <mergeCells count="1">
    <mergeCell ref="B2:F2"/>
  </mergeCells>
  <pageMargins left="0.7" right="0.7" top="0.75" bottom="0.75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7"/>
  <sheetViews>
    <sheetView topLeftCell="A5" workbookViewId="0">
      <selection activeCell="C22" sqref="C22"/>
    </sheetView>
  </sheetViews>
  <sheetFormatPr defaultRowHeight="15" x14ac:dyDescent="0.25"/>
  <cols>
    <col min="1" max="2" width="9.140625" style="2"/>
    <col min="3" max="3" width="30.7109375" style="2" customWidth="1"/>
    <col min="4" max="4" width="14.85546875" style="2" customWidth="1"/>
    <col min="5" max="5" width="17.7109375" style="2" customWidth="1"/>
    <col min="6" max="16384" width="9.140625" style="2"/>
  </cols>
  <sheetData>
    <row r="2" spans="2:5" x14ac:dyDescent="0.25">
      <c r="B2" s="239" t="s">
        <v>411</v>
      </c>
      <c r="C2" s="239"/>
      <c r="D2" s="239"/>
      <c r="E2" s="239"/>
    </row>
    <row r="4" spans="2:5" x14ac:dyDescent="0.25">
      <c r="B4" s="10" t="s">
        <v>100</v>
      </c>
      <c r="C4" s="10" t="s">
        <v>6</v>
      </c>
      <c r="D4" s="10" t="s">
        <v>412</v>
      </c>
      <c r="E4" s="10" t="s">
        <v>413</v>
      </c>
    </row>
    <row r="5" spans="2:5" ht="45" x14ac:dyDescent="0.25">
      <c r="B5" s="15" t="s">
        <v>10</v>
      </c>
      <c r="C5" s="16" t="s">
        <v>399</v>
      </c>
      <c r="D5" s="16"/>
      <c r="E5" s="16"/>
    </row>
    <row r="6" spans="2:5" x14ac:dyDescent="0.25">
      <c r="B6" s="15" t="s">
        <v>21</v>
      </c>
      <c r="C6" s="16" t="s">
        <v>255</v>
      </c>
      <c r="D6" s="16"/>
      <c r="E6" s="16"/>
    </row>
    <row r="7" spans="2:5" x14ac:dyDescent="0.25">
      <c r="B7" s="15" t="s">
        <v>30</v>
      </c>
      <c r="C7" s="16" t="s">
        <v>400</v>
      </c>
      <c r="D7" s="16"/>
      <c r="E7" s="16"/>
    </row>
    <row r="8" spans="2:5" x14ac:dyDescent="0.25">
      <c r="B8" s="15" t="s">
        <v>50</v>
      </c>
      <c r="C8" s="16" t="s">
        <v>398</v>
      </c>
      <c r="D8" s="16"/>
      <c r="E8" s="16"/>
    </row>
    <row r="9" spans="2:5" ht="30" x14ac:dyDescent="0.25">
      <c r="B9" s="15" t="s">
        <v>52</v>
      </c>
      <c r="C9" s="16" t="s">
        <v>300</v>
      </c>
      <c r="D9" s="16"/>
      <c r="E9" s="17"/>
    </row>
    <row r="10" spans="2:5" ht="30" x14ac:dyDescent="0.25">
      <c r="B10" s="15" t="s">
        <v>54</v>
      </c>
      <c r="C10" s="16" t="s">
        <v>401</v>
      </c>
      <c r="D10" s="16"/>
      <c r="E10" s="16"/>
    </row>
    <row r="11" spans="2:5" x14ac:dyDescent="0.25">
      <c r="B11" s="15" t="s">
        <v>58</v>
      </c>
      <c r="C11" s="16" t="s">
        <v>376</v>
      </c>
      <c r="D11" s="16"/>
      <c r="E11" s="16"/>
    </row>
    <row r="12" spans="2:5" x14ac:dyDescent="0.25">
      <c r="B12" s="23" t="s">
        <v>61</v>
      </c>
      <c r="C12" s="18" t="s">
        <v>402</v>
      </c>
      <c r="D12" s="18"/>
      <c r="E12" s="18" t="s">
        <v>408</v>
      </c>
    </row>
    <row r="13" spans="2:5" x14ac:dyDescent="0.25">
      <c r="B13" s="15" t="s">
        <v>63</v>
      </c>
      <c r="C13" s="16" t="s">
        <v>403</v>
      </c>
      <c r="D13" s="16"/>
      <c r="E13" s="16"/>
    </row>
    <row r="14" spans="2:5" x14ac:dyDescent="0.25">
      <c r="B14" s="15" t="s">
        <v>65</v>
      </c>
      <c r="C14" s="16" t="s">
        <v>404</v>
      </c>
      <c r="D14" s="17"/>
      <c r="E14" s="17"/>
    </row>
    <row r="15" spans="2:5" ht="30" x14ac:dyDescent="0.25">
      <c r="B15" s="15" t="s">
        <v>67</v>
      </c>
      <c r="C15" s="18" t="s">
        <v>405</v>
      </c>
      <c r="D15" s="17"/>
      <c r="E15" s="24" t="s">
        <v>409</v>
      </c>
    </row>
    <row r="16" spans="2:5" ht="30" x14ac:dyDescent="0.25">
      <c r="B16" s="15" t="s">
        <v>69</v>
      </c>
      <c r="C16" s="16" t="s">
        <v>406</v>
      </c>
      <c r="D16" s="17"/>
      <c r="E16" s="17"/>
    </row>
    <row r="17" spans="2:5" x14ac:dyDescent="0.25">
      <c r="B17" s="23" t="s">
        <v>71</v>
      </c>
      <c r="C17" s="18" t="s">
        <v>407</v>
      </c>
      <c r="D17" s="16"/>
      <c r="E17" s="18" t="s">
        <v>410</v>
      </c>
    </row>
  </sheetData>
  <customSheetViews>
    <customSheetView guid="{9CE83D47-1940-43F4-9510-4E48915AF617}">
      <selection activeCell="B4" sqref="B4:E4"/>
      <pageMargins left="0.7" right="0.7" top="0.75" bottom="0.75" header="0.3" footer="0.3"/>
    </customSheetView>
  </customSheetViews>
  <mergeCells count="1">
    <mergeCell ref="B2:E2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30"/>
  <sheetViews>
    <sheetView topLeftCell="A15" zoomScale="73" zoomScaleNormal="73" workbookViewId="0">
      <selection activeCell="C41" sqref="C41"/>
    </sheetView>
  </sheetViews>
  <sheetFormatPr defaultRowHeight="15" x14ac:dyDescent="0.25"/>
  <cols>
    <col min="1" max="2" width="9.140625" style="2"/>
    <col min="3" max="3" width="19.85546875" style="2" customWidth="1"/>
    <col min="4" max="4" width="27.5703125" style="2" customWidth="1"/>
    <col min="5" max="5" width="19" style="2" customWidth="1"/>
    <col min="6" max="16384" width="9.140625" style="2"/>
  </cols>
  <sheetData>
    <row r="2" spans="2:6" x14ac:dyDescent="0.25">
      <c r="B2" s="239" t="s">
        <v>414</v>
      </c>
      <c r="C2" s="239"/>
      <c r="D2" s="239"/>
      <c r="E2" s="239"/>
      <c r="F2" s="239"/>
    </row>
    <row r="4" spans="2:6" ht="30" x14ac:dyDescent="0.25">
      <c r="B4" s="12" t="s">
        <v>5</v>
      </c>
      <c r="C4" s="12" t="s">
        <v>32</v>
      </c>
      <c r="D4" s="12" t="s">
        <v>415</v>
      </c>
      <c r="E4" s="12" t="s">
        <v>416</v>
      </c>
      <c r="F4" s="12" t="s">
        <v>9</v>
      </c>
    </row>
    <row r="5" spans="2:6" x14ac:dyDescent="0.25">
      <c r="B5" s="11"/>
      <c r="C5" s="11"/>
      <c r="D5" s="11"/>
      <c r="E5" s="11"/>
      <c r="F5" s="11"/>
    </row>
    <row r="6" spans="2:6" x14ac:dyDescent="0.25">
      <c r="B6" s="12" t="s">
        <v>10</v>
      </c>
      <c r="C6" s="12" t="s">
        <v>40</v>
      </c>
      <c r="D6" s="12">
        <v>273.27999999999997</v>
      </c>
      <c r="E6" s="33">
        <v>251.62</v>
      </c>
      <c r="F6" s="11"/>
    </row>
    <row r="7" spans="2:6" ht="30" x14ac:dyDescent="0.25">
      <c r="B7" s="11" t="s">
        <v>12</v>
      </c>
      <c r="C7" s="11" t="s">
        <v>41</v>
      </c>
      <c r="D7" s="11">
        <f>D6-D8</f>
        <v>176.39999999999998</v>
      </c>
      <c r="E7" s="11"/>
      <c r="F7" s="11"/>
    </row>
    <row r="8" spans="2:6" ht="30" x14ac:dyDescent="0.25">
      <c r="B8" s="11" t="s">
        <v>15</v>
      </c>
      <c r="C8" s="11" t="s">
        <v>42</v>
      </c>
      <c r="D8" s="11">
        <v>96.88</v>
      </c>
      <c r="E8" s="11"/>
      <c r="F8" s="11"/>
    </row>
    <row r="9" spans="2:6" x14ac:dyDescent="0.25">
      <c r="B9" s="12" t="s">
        <v>21</v>
      </c>
      <c r="C9" s="12" t="s">
        <v>43</v>
      </c>
      <c r="D9" s="12">
        <f>SUM(D10:D11)</f>
        <v>1019.47</v>
      </c>
      <c r="E9" s="33">
        <v>1001.11</v>
      </c>
      <c r="F9" s="11"/>
    </row>
    <row r="10" spans="2:6" ht="30" x14ac:dyDescent="0.25">
      <c r="B10" s="11" t="s">
        <v>12</v>
      </c>
      <c r="C10" s="11" t="s">
        <v>44</v>
      </c>
      <c r="D10" s="11">
        <v>260.44</v>
      </c>
      <c r="E10" s="11">
        <f>'Energy Sales'!I11</f>
        <v>249.16</v>
      </c>
      <c r="F10" s="11"/>
    </row>
    <row r="11" spans="2:6" ht="30" x14ac:dyDescent="0.25">
      <c r="B11" s="11" t="s">
        <v>15</v>
      </c>
      <c r="C11" s="11" t="s">
        <v>45</v>
      </c>
      <c r="D11" s="11">
        <f>211.43+4.21+543.39</f>
        <v>759.03</v>
      </c>
      <c r="E11" s="98">
        <f>'Energy Sales'!I12</f>
        <v>751.95</v>
      </c>
      <c r="F11" s="11"/>
    </row>
    <row r="12" spans="2:6" x14ac:dyDescent="0.25">
      <c r="B12" s="12" t="s">
        <v>30</v>
      </c>
      <c r="C12" s="12" t="s">
        <v>46</v>
      </c>
      <c r="D12" s="12">
        <f>SUM(D13:D15)</f>
        <v>0.25</v>
      </c>
      <c r="E12" s="33">
        <f>SUM(E13:E15)</f>
        <v>0.21</v>
      </c>
      <c r="F12" s="11"/>
    </row>
    <row r="13" spans="2:6" ht="60" x14ac:dyDescent="0.25">
      <c r="B13" s="11" t="s">
        <v>12</v>
      </c>
      <c r="C13" s="11" t="s">
        <v>47</v>
      </c>
      <c r="D13" s="11">
        <v>0.25</v>
      </c>
      <c r="E13" s="11">
        <v>0.21</v>
      </c>
      <c r="F13" s="11"/>
    </row>
    <row r="14" spans="2:6" ht="60" x14ac:dyDescent="0.25">
      <c r="B14" s="11" t="s">
        <v>15</v>
      </c>
      <c r="C14" s="11" t="s">
        <v>48</v>
      </c>
      <c r="D14" s="11"/>
      <c r="E14" s="11"/>
      <c r="F14" s="11"/>
    </row>
    <row r="15" spans="2:6" ht="45" x14ac:dyDescent="0.25">
      <c r="B15" s="11" t="s">
        <v>18</v>
      </c>
      <c r="C15" s="11" t="s">
        <v>49</v>
      </c>
      <c r="D15" s="11"/>
      <c r="E15" s="11"/>
      <c r="F15" s="11"/>
    </row>
    <row r="16" spans="2:6" x14ac:dyDescent="0.25">
      <c r="B16" s="4" t="s">
        <v>50</v>
      </c>
      <c r="C16" s="4" t="s">
        <v>51</v>
      </c>
      <c r="D16" s="12"/>
      <c r="E16" s="11"/>
      <c r="F16" s="11"/>
    </row>
    <row r="17" spans="2:6" ht="30" x14ac:dyDescent="0.25">
      <c r="B17" s="11" t="s">
        <v>52</v>
      </c>
      <c r="C17" s="11" t="s">
        <v>53</v>
      </c>
      <c r="D17" s="11"/>
      <c r="E17" s="11"/>
      <c r="F17" s="11"/>
    </row>
    <row r="18" spans="2:6" x14ac:dyDescent="0.25">
      <c r="B18" s="11" t="s">
        <v>54</v>
      </c>
      <c r="C18" s="11" t="s">
        <v>55</v>
      </c>
      <c r="D18" s="11">
        <v>8.33</v>
      </c>
      <c r="E18" s="11">
        <v>8.32</v>
      </c>
      <c r="F18" s="11"/>
    </row>
    <row r="19" spans="2:6" x14ac:dyDescent="0.25">
      <c r="B19" s="11" t="s">
        <v>12</v>
      </c>
      <c r="C19" s="11" t="s">
        <v>56</v>
      </c>
      <c r="D19" s="11"/>
      <c r="E19" s="11"/>
      <c r="F19" s="11"/>
    </row>
    <row r="20" spans="2:6" x14ac:dyDescent="0.25">
      <c r="B20" s="11" t="s">
        <v>15</v>
      </c>
      <c r="C20" s="11" t="s">
        <v>57</v>
      </c>
      <c r="D20" s="11"/>
      <c r="E20" s="11"/>
      <c r="F20" s="11"/>
    </row>
    <row r="21" spans="2:6" x14ac:dyDescent="0.25">
      <c r="B21" s="11" t="s">
        <v>58</v>
      </c>
      <c r="C21" s="11" t="s">
        <v>74</v>
      </c>
      <c r="D21" s="11"/>
      <c r="E21" s="11"/>
      <c r="F21" s="11"/>
    </row>
    <row r="22" spans="2:6" x14ac:dyDescent="0.25">
      <c r="B22" s="11" t="s">
        <v>12</v>
      </c>
      <c r="C22" s="11" t="s">
        <v>59</v>
      </c>
      <c r="D22" s="11"/>
      <c r="E22" s="11"/>
      <c r="F22" s="11"/>
    </row>
    <row r="23" spans="2:6" ht="30" x14ac:dyDescent="0.25">
      <c r="B23" s="11" t="s">
        <v>15</v>
      </c>
      <c r="C23" s="11" t="s">
        <v>60</v>
      </c>
      <c r="D23" s="11"/>
      <c r="E23" s="11"/>
      <c r="F23" s="11"/>
    </row>
    <row r="24" spans="2:6" x14ac:dyDescent="0.25">
      <c r="B24" s="11" t="s">
        <v>61</v>
      </c>
      <c r="C24" s="11" t="s">
        <v>62</v>
      </c>
      <c r="D24" s="11"/>
      <c r="E24" s="11"/>
      <c r="F24" s="11"/>
    </row>
    <row r="25" spans="2:6" x14ac:dyDescent="0.25">
      <c r="B25" s="11" t="s">
        <v>63</v>
      </c>
      <c r="C25" s="11" t="s">
        <v>64</v>
      </c>
      <c r="D25" s="11"/>
      <c r="E25" s="11"/>
      <c r="F25" s="11"/>
    </row>
    <row r="26" spans="2:6" x14ac:dyDescent="0.25">
      <c r="B26" s="11" t="s">
        <v>65</v>
      </c>
      <c r="C26" s="11" t="s">
        <v>66</v>
      </c>
      <c r="D26" s="11">
        <v>35</v>
      </c>
      <c r="E26" s="11">
        <v>36.229999999999997</v>
      </c>
      <c r="F26" s="11"/>
    </row>
    <row r="27" spans="2:6" ht="30" x14ac:dyDescent="0.25">
      <c r="B27" s="11" t="s">
        <v>67</v>
      </c>
      <c r="C27" s="11" t="s">
        <v>68</v>
      </c>
      <c r="D27" s="11"/>
      <c r="E27" s="11"/>
      <c r="F27" s="11"/>
    </row>
    <row r="28" spans="2:6" x14ac:dyDescent="0.25">
      <c r="B28" s="11" t="s">
        <v>69</v>
      </c>
      <c r="C28" s="11" t="s">
        <v>70</v>
      </c>
      <c r="D28" s="11"/>
      <c r="E28" s="11"/>
      <c r="F28" s="11"/>
    </row>
    <row r="29" spans="2:6" x14ac:dyDescent="0.25">
      <c r="B29" s="11" t="s">
        <v>71</v>
      </c>
      <c r="C29" s="11" t="s">
        <v>72</v>
      </c>
      <c r="D29" s="11">
        <v>10.55</v>
      </c>
      <c r="E29" s="11">
        <v>9.74</v>
      </c>
      <c r="F29" s="11"/>
    </row>
    <row r="30" spans="2:6" x14ac:dyDescent="0.25">
      <c r="B30" s="11"/>
      <c r="C30" s="12" t="s">
        <v>73</v>
      </c>
      <c r="D30" s="11">
        <f>SUM(D29,D28,D27,D26,D25,D24,D21,D18,D17,D16,D12,D9,D6)</f>
        <v>1346.8799999999999</v>
      </c>
      <c r="E30" s="32">
        <f>SUM(E29,E28,E27,E26,E25,E24,E21,E18,E17,E16,E12,E9,E6)</f>
        <v>1307.23</v>
      </c>
      <c r="F30" s="11"/>
    </row>
  </sheetData>
  <customSheetViews>
    <customSheetView guid="{9CE83D47-1940-43F4-9510-4E48915AF617}">
      <pageMargins left="0.7" right="0.7" top="0.75" bottom="0.75" header="0.3" footer="0.3"/>
      <pageSetup paperSize="9" orientation="portrait" r:id="rId1"/>
    </customSheetView>
  </customSheetViews>
  <mergeCells count="1">
    <mergeCell ref="B2:F2"/>
  </mergeCells>
  <pageMargins left="0.7" right="0.7" top="0.75" bottom="0.75" header="0.3" footer="0.3"/>
  <pageSetup paperSize="9" scale="93" orientation="portrait"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7"/>
  <sheetViews>
    <sheetView topLeftCell="B12" zoomScale="98" zoomScaleNormal="98" workbookViewId="0">
      <selection activeCell="E28" sqref="E28"/>
    </sheetView>
  </sheetViews>
  <sheetFormatPr defaultRowHeight="15" x14ac:dyDescent="0.25"/>
  <cols>
    <col min="1" max="1" width="9.140625" style="190"/>
    <col min="2" max="2" width="7.140625" style="190" customWidth="1"/>
    <col min="3" max="3" width="32.7109375" style="190" customWidth="1"/>
    <col min="4" max="4" width="25.140625" style="190" customWidth="1"/>
    <col min="5" max="5" width="19.5703125" style="190" customWidth="1"/>
    <col min="6" max="6" width="32.42578125" style="190" customWidth="1"/>
    <col min="7" max="7" width="19.140625" style="190" customWidth="1"/>
    <col min="8" max="16384" width="9.140625" style="190"/>
  </cols>
  <sheetData>
    <row r="2" spans="2:7" x14ac:dyDescent="0.25">
      <c r="B2" s="239" t="s">
        <v>418</v>
      </c>
      <c r="C2" s="239"/>
      <c r="D2" s="239"/>
      <c r="E2" s="239"/>
    </row>
    <row r="4" spans="2:7" ht="30" x14ac:dyDescent="0.25">
      <c r="B4" s="189" t="s">
        <v>100</v>
      </c>
      <c r="C4" s="189" t="s">
        <v>6</v>
      </c>
      <c r="D4" s="189" t="s">
        <v>420</v>
      </c>
      <c r="E4" s="189" t="s">
        <v>254</v>
      </c>
    </row>
    <row r="5" spans="2:7" x14ac:dyDescent="0.25">
      <c r="B5" s="98">
        <v>1</v>
      </c>
      <c r="C5" s="98" t="s">
        <v>421</v>
      </c>
      <c r="D5" s="35">
        <v>0.10100000000000001</v>
      </c>
      <c r="E5" s="35">
        <f>E19</f>
        <v>9.5834786015794093E-2</v>
      </c>
    </row>
    <row r="8" spans="2:7" x14ac:dyDescent="0.25">
      <c r="B8" s="239" t="s">
        <v>422</v>
      </c>
      <c r="C8" s="239"/>
      <c r="D8" s="239"/>
      <c r="E8" s="239"/>
      <c r="F8" s="239"/>
    </row>
    <row r="10" spans="2:7" x14ac:dyDescent="0.25">
      <c r="B10" s="189" t="s">
        <v>100</v>
      </c>
      <c r="C10" s="189" t="s">
        <v>6</v>
      </c>
      <c r="D10" s="189" t="s">
        <v>104</v>
      </c>
      <c r="E10" s="189" t="s">
        <v>423</v>
      </c>
      <c r="F10" s="189" t="s">
        <v>9</v>
      </c>
    </row>
    <row r="11" spans="2:7" x14ac:dyDescent="0.25">
      <c r="B11" s="98" t="s">
        <v>10</v>
      </c>
      <c r="C11" s="98" t="s">
        <v>424</v>
      </c>
      <c r="D11" s="98" t="s">
        <v>14</v>
      </c>
      <c r="E11" s="36">
        <f>'Energy Balance'!E22</f>
        <v>1425.6887440943999</v>
      </c>
      <c r="F11" s="98"/>
    </row>
    <row r="12" spans="2:7" ht="30" x14ac:dyDescent="0.25">
      <c r="B12" s="98" t="s">
        <v>21</v>
      </c>
      <c r="C12" s="98" t="s">
        <v>425</v>
      </c>
      <c r="D12" s="98" t="s">
        <v>14</v>
      </c>
      <c r="E12" s="98">
        <f>'T1'!E30</f>
        <v>1307.23</v>
      </c>
      <c r="F12" s="98" t="s">
        <v>640</v>
      </c>
    </row>
    <row r="13" spans="2:7" ht="30" x14ac:dyDescent="0.25">
      <c r="B13" s="98" t="s">
        <v>30</v>
      </c>
      <c r="C13" s="98" t="s">
        <v>426</v>
      </c>
      <c r="D13" s="98" t="s">
        <v>211</v>
      </c>
      <c r="E13" s="36">
        <f>'T3'!D8</f>
        <v>931.87400000000002</v>
      </c>
      <c r="F13" s="98" t="s">
        <v>641</v>
      </c>
    </row>
    <row r="14" spans="2:7" x14ac:dyDescent="0.25">
      <c r="B14" s="98" t="s">
        <v>50</v>
      </c>
      <c r="C14" s="98" t="s">
        <v>427</v>
      </c>
      <c r="D14" s="98" t="s">
        <v>432</v>
      </c>
      <c r="E14" s="36">
        <f>E13*10/E12</f>
        <v>7.1286154693512236</v>
      </c>
      <c r="F14" s="98" t="s">
        <v>433</v>
      </c>
    </row>
    <row r="15" spans="2:7" x14ac:dyDescent="0.25">
      <c r="B15" s="98" t="s">
        <v>52</v>
      </c>
      <c r="C15" s="98" t="s">
        <v>428</v>
      </c>
      <c r="D15" s="98" t="s">
        <v>17</v>
      </c>
      <c r="E15" s="37">
        <f>1-E12/E11</f>
        <v>8.3088783989555215E-2</v>
      </c>
      <c r="F15" s="98" t="s">
        <v>434</v>
      </c>
    </row>
    <row r="16" spans="2:7" ht="66.75" customHeight="1" x14ac:dyDescent="0.25">
      <c r="B16" s="98" t="s">
        <v>54</v>
      </c>
      <c r="C16" s="98" t="s">
        <v>429</v>
      </c>
      <c r="D16" s="98" t="s">
        <v>211</v>
      </c>
      <c r="E16" s="98">
        <f>'T3'!D17</f>
        <v>918.92</v>
      </c>
      <c r="F16" s="98" t="s">
        <v>642</v>
      </c>
      <c r="G16" s="190" t="s">
        <v>857</v>
      </c>
    </row>
    <row r="17" spans="2:6" x14ac:dyDescent="0.25">
      <c r="B17" s="98" t="s">
        <v>58</v>
      </c>
      <c r="C17" s="98" t="s">
        <v>102</v>
      </c>
      <c r="D17" s="98" t="s">
        <v>17</v>
      </c>
      <c r="E17" s="37">
        <f>E16/E13</f>
        <v>0.98609897904652344</v>
      </c>
      <c r="F17" s="98" t="s">
        <v>435</v>
      </c>
    </row>
    <row r="18" spans="2:6" x14ac:dyDescent="0.25">
      <c r="B18" s="98" t="s">
        <v>61</v>
      </c>
      <c r="C18" s="98" t="s">
        <v>430</v>
      </c>
      <c r="D18" s="98" t="s">
        <v>14</v>
      </c>
      <c r="E18" s="36">
        <f>E12*E17</f>
        <v>1289.0581683789869</v>
      </c>
      <c r="F18" s="98" t="s">
        <v>436</v>
      </c>
    </row>
    <row r="19" spans="2:6" x14ac:dyDescent="0.25">
      <c r="B19" s="98" t="s">
        <v>63</v>
      </c>
      <c r="C19" s="98" t="s">
        <v>431</v>
      </c>
      <c r="D19" s="98" t="s">
        <v>17</v>
      </c>
      <c r="E19" s="37">
        <f>1-E18/E11</f>
        <v>9.5834786015794093E-2</v>
      </c>
      <c r="F19" s="98" t="s">
        <v>437</v>
      </c>
    </row>
    <row r="21" spans="2:6" x14ac:dyDescent="0.25">
      <c r="B21" s="277" t="s">
        <v>652</v>
      </c>
      <c r="C21" s="277"/>
      <c r="D21" s="277"/>
      <c r="E21" s="277"/>
    </row>
    <row r="23" spans="2:6" ht="30" x14ac:dyDescent="0.25">
      <c r="B23" s="189" t="s">
        <v>100</v>
      </c>
      <c r="C23" s="189" t="s">
        <v>6</v>
      </c>
      <c r="D23" s="189" t="s">
        <v>646</v>
      </c>
      <c r="E23" s="189" t="s">
        <v>9</v>
      </c>
    </row>
    <row r="24" spans="2:6" x14ac:dyDescent="0.25">
      <c r="B24" s="98" t="s">
        <v>10</v>
      </c>
      <c r="C24" s="98" t="s">
        <v>647</v>
      </c>
      <c r="D24" s="35">
        <v>0.10100000000000001</v>
      </c>
      <c r="E24" s="98"/>
    </row>
    <row r="25" spans="2:6" x14ac:dyDescent="0.25">
      <c r="B25" s="98" t="s">
        <v>21</v>
      </c>
      <c r="C25" s="98" t="s">
        <v>648</v>
      </c>
      <c r="D25" s="35">
        <f>E19</f>
        <v>9.5834786015794093E-2</v>
      </c>
      <c r="E25" s="98"/>
    </row>
    <row r="26" spans="2:6" x14ac:dyDescent="0.25">
      <c r="B26" s="98" t="s">
        <v>30</v>
      </c>
      <c r="C26" s="98" t="s">
        <v>649</v>
      </c>
      <c r="D26" s="35">
        <v>0.10349999999999999</v>
      </c>
      <c r="E26" s="98"/>
    </row>
    <row r="27" spans="2:6" x14ac:dyDescent="0.25">
      <c r="B27" s="98" t="s">
        <v>50</v>
      </c>
      <c r="C27" s="98" t="s">
        <v>650</v>
      </c>
      <c r="D27" s="37">
        <f>(D24-D25)/(D26-D24)/100</f>
        <v>2.0660855936823749E-2</v>
      </c>
      <c r="E27" s="98"/>
    </row>
  </sheetData>
  <customSheetViews>
    <customSheetView guid="{9CE83D47-1940-43F4-9510-4E48915AF617}">
      <selection activeCell="C7" sqref="C7"/>
      <pageMargins left="0.7" right="0.7" top="0.75" bottom="0.75" header="0.3" footer="0.3"/>
    </customSheetView>
  </customSheetViews>
  <mergeCells count="3">
    <mergeCell ref="B2:E2"/>
    <mergeCell ref="B8:F8"/>
    <mergeCell ref="B21:E21"/>
  </mergeCells>
  <pageMargins left="0.7" right="0.7" top="0.75" bottom="0.75" header="0.3" footer="0.3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28"/>
  <sheetViews>
    <sheetView topLeftCell="D10" zoomScaleNormal="100" zoomScaleSheetLayoutView="124" workbookViewId="0">
      <selection activeCell="H16" sqref="H16"/>
    </sheetView>
  </sheetViews>
  <sheetFormatPr defaultRowHeight="15" x14ac:dyDescent="0.25"/>
  <cols>
    <col min="1" max="1" width="0" style="86" hidden="1" customWidth="1"/>
    <col min="2" max="2" width="9.140625" style="86"/>
    <col min="3" max="3" width="36.85546875" style="86" customWidth="1"/>
    <col min="4" max="4" width="9.140625" style="86"/>
    <col min="5" max="5" width="14.5703125" style="86" customWidth="1"/>
    <col min="6" max="7" width="13.85546875" style="86" customWidth="1"/>
    <col min="8" max="8" width="9.140625" style="86"/>
    <col min="9" max="9" width="11.5703125" style="86" bestFit="1" customWidth="1"/>
    <col min="10" max="12" width="9.140625" style="86" customWidth="1"/>
    <col min="13" max="13" width="9.85546875" style="86" customWidth="1"/>
    <col min="14" max="15" width="11.5703125" style="86" bestFit="1" customWidth="1"/>
    <col min="16" max="16384" width="9.140625" style="86"/>
  </cols>
  <sheetData>
    <row r="1" spans="2:16" x14ac:dyDescent="0.25">
      <c r="I1" s="34"/>
      <c r="J1" s="34"/>
      <c r="K1" s="34"/>
      <c r="L1" s="34"/>
      <c r="M1" s="34"/>
      <c r="N1" s="34"/>
      <c r="O1" s="34"/>
      <c r="P1" s="34"/>
    </row>
    <row r="2" spans="2:16" x14ac:dyDescent="0.25">
      <c r="B2" s="239" t="s">
        <v>823</v>
      </c>
      <c r="C2" s="239"/>
      <c r="D2" s="239"/>
      <c r="E2" s="239"/>
      <c r="F2" s="239"/>
      <c r="G2" s="239"/>
      <c r="H2" s="239"/>
      <c r="I2" s="34"/>
      <c r="J2" s="34"/>
      <c r="K2" s="34"/>
      <c r="L2" s="34"/>
      <c r="M2" s="34"/>
      <c r="N2" s="34"/>
      <c r="O2" s="34"/>
      <c r="P2" s="34"/>
    </row>
    <row r="3" spans="2:16" x14ac:dyDescent="0.25">
      <c r="I3" s="34"/>
      <c r="J3" s="34"/>
      <c r="K3" s="34"/>
      <c r="L3" s="34"/>
      <c r="M3" s="34"/>
      <c r="N3" s="34"/>
      <c r="O3" s="34"/>
      <c r="P3" s="34"/>
    </row>
    <row r="4" spans="2:16" ht="30" x14ac:dyDescent="0.25">
      <c r="B4" s="14" t="s">
        <v>5</v>
      </c>
      <c r="C4" s="14" t="s">
        <v>6</v>
      </c>
      <c r="D4" s="14" t="s">
        <v>7</v>
      </c>
      <c r="E4" s="14" t="s">
        <v>806</v>
      </c>
      <c r="F4" s="14" t="s">
        <v>87</v>
      </c>
      <c r="G4" s="14" t="s">
        <v>837</v>
      </c>
      <c r="H4" s="14" t="s">
        <v>9</v>
      </c>
      <c r="I4" s="8"/>
      <c r="J4" s="8"/>
      <c r="K4" s="8"/>
      <c r="L4" s="34"/>
      <c r="M4" s="34"/>
      <c r="N4" s="34"/>
      <c r="O4" s="34"/>
      <c r="P4" s="34"/>
    </row>
    <row r="5" spans="2:16" x14ac:dyDescent="0.25">
      <c r="B5" s="106">
        <v>1</v>
      </c>
      <c r="C5" s="106">
        <v>2</v>
      </c>
      <c r="D5" s="106">
        <v>3</v>
      </c>
      <c r="E5" s="106">
        <v>4</v>
      </c>
      <c r="F5" s="106">
        <v>5</v>
      </c>
      <c r="G5" s="106">
        <v>6</v>
      </c>
      <c r="H5" s="106">
        <v>7</v>
      </c>
      <c r="I5" s="34"/>
      <c r="J5" s="34"/>
      <c r="K5" s="34"/>
      <c r="L5" s="34"/>
      <c r="M5" s="34"/>
      <c r="N5" s="34"/>
      <c r="O5" s="34"/>
      <c r="P5" s="34"/>
    </row>
    <row r="6" spans="2:16" x14ac:dyDescent="0.25">
      <c r="B6" s="107" t="s">
        <v>10</v>
      </c>
      <c r="C6" s="107" t="s">
        <v>11</v>
      </c>
      <c r="D6" s="106"/>
      <c r="E6" s="106"/>
      <c r="F6" s="106"/>
      <c r="G6" s="106"/>
      <c r="H6" s="106"/>
      <c r="I6" s="34"/>
      <c r="J6" s="34"/>
      <c r="K6" s="34"/>
      <c r="L6" s="34"/>
      <c r="M6" s="34"/>
      <c r="N6" s="34"/>
      <c r="O6" s="34"/>
      <c r="P6" s="34"/>
    </row>
    <row r="7" spans="2:16" ht="30" x14ac:dyDescent="0.25">
      <c r="B7" s="106" t="s">
        <v>12</v>
      </c>
      <c r="C7" s="106" t="s">
        <v>13</v>
      </c>
      <c r="D7" s="106" t="s">
        <v>14</v>
      </c>
      <c r="E7" s="97">
        <f>'T5'!F24</f>
        <v>724.37</v>
      </c>
      <c r="F7" s="69">
        <f>'Power Purchase Cost 2015-16'!G72</f>
        <v>664.89</v>
      </c>
      <c r="G7" s="97">
        <f>'Power Purchase Cost 2015-16'!G72</f>
        <v>664.89</v>
      </c>
      <c r="H7" s="106"/>
      <c r="I7" s="102"/>
      <c r="J7" s="102"/>
      <c r="K7" s="102"/>
      <c r="L7" s="34"/>
      <c r="M7" s="34"/>
      <c r="N7" s="102"/>
      <c r="O7" s="102"/>
      <c r="P7" s="102"/>
    </row>
    <row r="8" spans="2:16" x14ac:dyDescent="0.25">
      <c r="B8" s="240" t="s">
        <v>15</v>
      </c>
      <c r="C8" s="240" t="s">
        <v>16</v>
      </c>
      <c r="D8" s="106" t="s">
        <v>17</v>
      </c>
      <c r="E8" s="108">
        <f>Assumption!D25</f>
        <v>3.3599999999999998E-2</v>
      </c>
      <c r="F8" s="109">
        <f>Assumption!D25</f>
        <v>3.3599999999999998E-2</v>
      </c>
      <c r="G8" s="109">
        <f>Assumption!E25</f>
        <v>3.3599999999999998E-2</v>
      </c>
      <c r="H8" s="106"/>
      <c r="I8" s="103"/>
      <c r="J8" s="104"/>
      <c r="K8" s="104"/>
      <c r="L8" s="34"/>
      <c r="M8" s="34"/>
      <c r="N8" s="34"/>
      <c r="O8" s="34"/>
      <c r="P8" s="34"/>
    </row>
    <row r="9" spans="2:16" x14ac:dyDescent="0.25">
      <c r="B9" s="240"/>
      <c r="C9" s="240"/>
      <c r="D9" s="106" t="s">
        <v>14</v>
      </c>
      <c r="E9" s="97">
        <f>E7*E8</f>
        <v>24.338832</v>
      </c>
      <c r="F9" s="97">
        <f>F8*F7</f>
        <v>22.340304</v>
      </c>
      <c r="G9" s="97">
        <f>G8*G7</f>
        <v>22.340304</v>
      </c>
      <c r="H9" s="106"/>
      <c r="I9" s="102"/>
      <c r="J9" s="34"/>
      <c r="K9" s="34"/>
      <c r="L9" s="34"/>
      <c r="M9" s="34"/>
      <c r="N9" s="102"/>
      <c r="O9" s="102"/>
      <c r="P9" s="102"/>
    </row>
    <row r="10" spans="2:16" x14ac:dyDescent="0.25">
      <c r="B10" s="106" t="s">
        <v>18</v>
      </c>
      <c r="C10" s="106" t="s">
        <v>965</v>
      </c>
      <c r="D10" s="106" t="s">
        <v>14</v>
      </c>
      <c r="E10" s="97">
        <f>'T5'!F76</f>
        <v>1355.8719999999998</v>
      </c>
      <c r="F10" s="97">
        <f>'Power Purchase Cost 2015-16'!D77-'Power Purchase Cost 2015-16'!D72</f>
        <v>1272.692</v>
      </c>
      <c r="G10" s="97">
        <f>'Power Purchase Cost 2015-16'!G77-'Power Purchase Cost 2015-16'!G72</f>
        <v>1272.692</v>
      </c>
      <c r="H10" s="106"/>
      <c r="I10" s="102"/>
      <c r="J10" s="102"/>
      <c r="K10" s="102"/>
      <c r="L10" s="34"/>
      <c r="M10" s="34"/>
      <c r="N10" s="102"/>
      <c r="O10" s="102"/>
      <c r="P10" s="102"/>
    </row>
    <row r="11" spans="2:16" x14ac:dyDescent="0.25">
      <c r="B11" s="106" t="s">
        <v>19</v>
      </c>
      <c r="C11" s="106" t="s">
        <v>893</v>
      </c>
      <c r="D11" s="106" t="s">
        <v>14</v>
      </c>
      <c r="E11" s="97">
        <f>'T4'!H20+'T4'!H24</f>
        <v>12.67</v>
      </c>
      <c r="F11" s="97">
        <f>'Power Purchase Cost 2015-16'!E97</f>
        <v>10.584999999999999</v>
      </c>
      <c r="G11" s="97">
        <f>'Power Purchase Cost 2015-16'!H97</f>
        <v>0</v>
      </c>
      <c r="H11" s="106"/>
      <c r="I11" s="102"/>
      <c r="J11" s="102"/>
      <c r="K11" s="102"/>
      <c r="L11" s="34"/>
      <c r="M11" s="34"/>
      <c r="N11" s="34"/>
      <c r="O11" s="34"/>
      <c r="P11" s="34"/>
    </row>
    <row r="12" spans="2:16" x14ac:dyDescent="0.25">
      <c r="B12" s="106" t="s">
        <v>27</v>
      </c>
      <c r="C12" s="106" t="s">
        <v>894</v>
      </c>
      <c r="D12" s="106" t="s">
        <v>14</v>
      </c>
      <c r="E12" s="97">
        <f>'T4'!H41</f>
        <v>655.78480000000002</v>
      </c>
      <c r="F12" s="97">
        <f>F7-F9+F10-F25+F11</f>
        <v>478.26481949150906</v>
      </c>
      <c r="G12" s="97">
        <f>G7-G9+G10-G25+G11</f>
        <v>426.11587319493856</v>
      </c>
      <c r="H12" s="106"/>
      <c r="I12" s="102"/>
      <c r="J12" s="34"/>
      <c r="K12" s="102"/>
      <c r="L12" s="34"/>
      <c r="M12" s="34"/>
      <c r="N12" s="102"/>
      <c r="O12" s="102"/>
      <c r="P12" s="102"/>
    </row>
    <row r="13" spans="2:16" ht="30" x14ac:dyDescent="0.25">
      <c r="B13" s="106" t="s">
        <v>130</v>
      </c>
      <c r="C13" s="106" t="s">
        <v>20</v>
      </c>
      <c r="D13" s="106" t="s">
        <v>14</v>
      </c>
      <c r="E13" s="97">
        <f>E7-E9+E10+E11-E12</f>
        <v>1412.788368</v>
      </c>
      <c r="F13" s="97">
        <f>F7-F9+F10+F11-F12</f>
        <v>1447.561876508491</v>
      </c>
      <c r="G13" s="97">
        <f>G7-G9+G10+G11-G12</f>
        <v>1489.1258228050615</v>
      </c>
      <c r="H13" s="106"/>
      <c r="I13" s="102"/>
      <c r="J13" s="34"/>
      <c r="K13" s="102"/>
      <c r="L13" s="102"/>
      <c r="M13" s="34"/>
      <c r="N13" s="105"/>
      <c r="O13" s="102"/>
      <c r="P13" s="102"/>
    </row>
    <row r="14" spans="2:16" x14ac:dyDescent="0.25">
      <c r="B14" s="106" t="s">
        <v>132</v>
      </c>
      <c r="C14" s="106" t="s">
        <v>803</v>
      </c>
      <c r="D14" s="106" t="s">
        <v>14</v>
      </c>
      <c r="E14" s="97">
        <f>29.1/(100%-E23)</f>
        <v>29.444500657695034</v>
      </c>
      <c r="F14" s="97">
        <f>'Power Purchase Cost 2015-16'!E96</f>
        <v>0</v>
      </c>
      <c r="G14" s="97">
        <f>'Power Purchase Cost 2015-16'!H96</f>
        <v>0</v>
      </c>
      <c r="H14" s="106"/>
      <c r="I14" s="34"/>
      <c r="J14" s="34"/>
      <c r="K14" s="102"/>
      <c r="L14" s="34"/>
      <c r="M14" s="34"/>
      <c r="N14" s="102"/>
      <c r="O14" s="102"/>
      <c r="P14" s="102"/>
    </row>
    <row r="15" spans="2:16" x14ac:dyDescent="0.25">
      <c r="B15" s="106" t="s">
        <v>134</v>
      </c>
      <c r="C15" s="106" t="s">
        <v>804</v>
      </c>
      <c r="D15" s="106" t="s">
        <v>14</v>
      </c>
      <c r="E15" s="97">
        <f>E13+E14</f>
        <v>1442.232868657695</v>
      </c>
      <c r="F15" s="97">
        <f>SUM(F13:F14)</f>
        <v>1447.561876508491</v>
      </c>
      <c r="G15" s="97">
        <f>SUM(G13:G14)</f>
        <v>1489.1258228050615</v>
      </c>
      <c r="H15" s="106"/>
      <c r="I15" s="34"/>
      <c r="J15" s="34"/>
      <c r="K15" s="34"/>
      <c r="L15" s="34"/>
      <c r="M15" s="34"/>
      <c r="N15" s="34"/>
      <c r="O15" s="34"/>
      <c r="P15" s="34"/>
    </row>
    <row r="16" spans="2:16" x14ac:dyDescent="0.25">
      <c r="B16" s="106"/>
      <c r="C16" s="106"/>
      <c r="D16" s="106"/>
      <c r="E16" s="106"/>
      <c r="F16" s="97"/>
      <c r="G16" s="97"/>
      <c r="H16" s="106"/>
      <c r="I16" s="34"/>
      <c r="J16" s="102"/>
      <c r="K16" s="102"/>
      <c r="L16" s="34"/>
      <c r="M16" s="34"/>
      <c r="N16" s="102"/>
      <c r="O16" s="102"/>
      <c r="P16" s="102"/>
    </row>
    <row r="17" spans="2:16" x14ac:dyDescent="0.25">
      <c r="B17" s="107" t="s">
        <v>21</v>
      </c>
      <c r="C17" s="107" t="s">
        <v>22</v>
      </c>
      <c r="D17" s="106"/>
      <c r="E17" s="106"/>
      <c r="F17" s="106"/>
      <c r="G17" s="106"/>
      <c r="H17" s="106"/>
      <c r="I17" s="104"/>
      <c r="J17" s="103"/>
      <c r="K17" s="104"/>
      <c r="L17" s="34"/>
      <c r="M17" s="34"/>
      <c r="N17" s="34"/>
      <c r="O17" s="34"/>
      <c r="P17" s="34"/>
    </row>
    <row r="18" spans="2:16" x14ac:dyDescent="0.25">
      <c r="B18" s="106" t="s">
        <v>12</v>
      </c>
      <c r="C18" s="106" t="s">
        <v>23</v>
      </c>
      <c r="D18" s="106" t="s">
        <v>14</v>
      </c>
      <c r="E18" s="97">
        <f>'Energy Sales'!I42</f>
        <v>1307.23</v>
      </c>
      <c r="F18" s="97">
        <f>'Energy Sales'!J42</f>
        <v>1337.15</v>
      </c>
      <c r="G18" s="97">
        <f>'Projected Sales FY''15-16'!F43</f>
        <v>1375.1872263128855</v>
      </c>
      <c r="H18" s="106"/>
      <c r="I18" s="102"/>
      <c r="J18" s="102"/>
      <c r="K18" s="102"/>
      <c r="L18" s="34"/>
      <c r="M18" s="34"/>
      <c r="N18" s="102"/>
      <c r="O18" s="102"/>
      <c r="P18" s="102"/>
    </row>
    <row r="19" spans="2:16" x14ac:dyDescent="0.25">
      <c r="B19" s="240" t="s">
        <v>15</v>
      </c>
      <c r="C19" s="240" t="s">
        <v>24</v>
      </c>
      <c r="D19" s="106" t="s">
        <v>17</v>
      </c>
      <c r="E19" s="109">
        <f>(E20/E22)</f>
        <v>8.3088783989555243E-2</v>
      </c>
      <c r="F19" s="108">
        <f>Assumption!D18</f>
        <v>8.3088783989555243E-2</v>
      </c>
      <c r="G19" s="108">
        <f>Assumption!E18</f>
        <v>8.3088783989555243E-2</v>
      </c>
      <c r="H19" s="106"/>
      <c r="I19" s="102"/>
      <c r="J19" s="102"/>
      <c r="K19" s="34"/>
      <c r="L19" s="34"/>
      <c r="M19" s="34"/>
      <c r="N19" s="34"/>
      <c r="O19" s="34"/>
      <c r="P19" s="34"/>
    </row>
    <row r="20" spans="2:16" x14ac:dyDescent="0.25">
      <c r="B20" s="240"/>
      <c r="C20" s="240"/>
      <c r="D20" s="106" t="s">
        <v>14</v>
      </c>
      <c r="E20" s="97">
        <f>E22-E18</f>
        <v>118.45874409439989</v>
      </c>
      <c r="F20" s="97">
        <f>F19*F22</f>
        <v>121.17003868166033</v>
      </c>
      <c r="G20" s="97">
        <f>G19*G22</f>
        <v>124.61690117552817</v>
      </c>
      <c r="H20" s="106"/>
      <c r="I20" s="102"/>
      <c r="J20" s="34"/>
      <c r="K20" s="34"/>
      <c r="L20" s="34"/>
      <c r="M20" s="34"/>
      <c r="N20" s="34"/>
      <c r="O20" s="102"/>
      <c r="P20" s="102"/>
    </row>
    <row r="21" spans="2:16" x14ac:dyDescent="0.25">
      <c r="B21" s="106" t="s">
        <v>18</v>
      </c>
      <c r="C21" s="106" t="s">
        <v>805</v>
      </c>
      <c r="D21" s="106" t="s">
        <v>14</v>
      </c>
      <c r="E21" s="97">
        <f>'T5'!F78</f>
        <v>0.33</v>
      </c>
      <c r="F21" s="97">
        <f>'Power Purchase Cost 2015-16'!D78+'Power Purchase Cost 2015-16'!D79</f>
        <v>24.51</v>
      </c>
      <c r="G21" s="97">
        <f>'Power Purchase Cost 2015-16'!G78+'Power Purchase Cost 2015-16'!G79</f>
        <v>24.824999999999999</v>
      </c>
      <c r="H21" s="106"/>
      <c r="I21" s="103"/>
      <c r="J21" s="103"/>
      <c r="K21" s="103"/>
      <c r="L21" s="34"/>
      <c r="M21" s="34"/>
      <c r="N21" s="102"/>
      <c r="O21" s="102"/>
      <c r="P21" s="102"/>
    </row>
    <row r="22" spans="2:16" ht="30" x14ac:dyDescent="0.25">
      <c r="B22" s="106" t="s">
        <v>19</v>
      </c>
      <c r="C22" s="106" t="s">
        <v>25</v>
      </c>
      <c r="D22" s="106" t="s">
        <v>14</v>
      </c>
      <c r="E22" s="69">
        <f>E25-E24+E21</f>
        <v>1425.6887440943999</v>
      </c>
      <c r="F22" s="97">
        <f>F18/(100%-F19)</f>
        <v>1458.3200386816604</v>
      </c>
      <c r="G22" s="97">
        <f>G18/(100%-G19)</f>
        <v>1499.8041274884135</v>
      </c>
      <c r="H22" s="106"/>
      <c r="I22" s="102"/>
      <c r="J22" s="102"/>
      <c r="K22" s="102"/>
      <c r="L22" s="102"/>
      <c r="M22" s="34"/>
      <c r="N22" s="104"/>
      <c r="O22" s="103"/>
      <c r="P22" s="104"/>
    </row>
    <row r="23" spans="2:16" x14ac:dyDescent="0.25">
      <c r="B23" s="240" t="s">
        <v>27</v>
      </c>
      <c r="C23" s="240" t="s">
        <v>26</v>
      </c>
      <c r="D23" s="106" t="s">
        <v>17</v>
      </c>
      <c r="E23" s="108">
        <v>1.17E-2</v>
      </c>
      <c r="F23" s="108">
        <f>Assumption!D26</f>
        <v>9.4999999999999998E-3</v>
      </c>
      <c r="G23" s="108">
        <f>Assumption!E26</f>
        <v>9.4999999999999998E-3</v>
      </c>
      <c r="H23" s="108"/>
      <c r="I23" s="105"/>
      <c r="J23" s="105"/>
      <c r="K23" s="105"/>
      <c r="L23" s="34"/>
      <c r="M23" s="34"/>
      <c r="N23" s="34"/>
      <c r="O23" s="34"/>
      <c r="P23" s="34"/>
    </row>
    <row r="24" spans="2:16" x14ac:dyDescent="0.25">
      <c r="B24" s="240"/>
      <c r="C24" s="240"/>
      <c r="D24" s="106" t="s">
        <v>14</v>
      </c>
      <c r="E24" s="97">
        <f>(E15)*E23</f>
        <v>16.87412456329503</v>
      </c>
      <c r="F24" s="97">
        <f>(F15)*F23</f>
        <v>13.751837826830664</v>
      </c>
      <c r="G24" s="97">
        <f>(G15)*G23</f>
        <v>14.146695316648083</v>
      </c>
      <c r="H24" s="106"/>
      <c r="I24" s="34"/>
      <c r="J24" s="34"/>
      <c r="K24" s="34"/>
      <c r="L24" s="34"/>
      <c r="M24" s="34"/>
      <c r="N24" s="34"/>
      <c r="O24" s="34"/>
      <c r="P24" s="34"/>
    </row>
    <row r="25" spans="2:16" ht="30" x14ac:dyDescent="0.25">
      <c r="B25" s="106" t="s">
        <v>130</v>
      </c>
      <c r="C25" s="106" t="s">
        <v>28</v>
      </c>
      <c r="D25" s="106" t="s">
        <v>14</v>
      </c>
      <c r="E25" s="97">
        <f>E15</f>
        <v>1442.232868657695</v>
      </c>
      <c r="F25" s="97">
        <f>(F22-F21)/(100%-F23)</f>
        <v>1447.561876508491</v>
      </c>
      <c r="G25" s="97">
        <f>(G22-G21)/(100%-G23)</f>
        <v>1489.1258228050615</v>
      </c>
      <c r="H25" s="106"/>
      <c r="I25" s="102"/>
      <c r="J25" s="102"/>
      <c r="K25" s="102"/>
      <c r="L25" s="34"/>
      <c r="M25" s="34"/>
      <c r="N25" s="34"/>
      <c r="O25" s="34"/>
      <c r="P25" s="34"/>
    </row>
    <row r="26" spans="2:16" x14ac:dyDescent="0.25">
      <c r="B26" s="106"/>
      <c r="C26" s="106"/>
      <c r="D26" s="106"/>
      <c r="E26" s="106"/>
      <c r="F26" s="97"/>
      <c r="G26" s="97"/>
      <c r="H26" s="106"/>
      <c r="I26" s="34"/>
      <c r="J26" s="34"/>
      <c r="K26" s="34"/>
      <c r="L26" s="34"/>
      <c r="M26" s="34"/>
      <c r="N26" s="34"/>
      <c r="O26" s="34"/>
      <c r="P26" s="34"/>
    </row>
    <row r="27" spans="2:16" x14ac:dyDescent="0.25">
      <c r="B27" s="107" t="s">
        <v>30</v>
      </c>
      <c r="C27" s="107" t="s">
        <v>29</v>
      </c>
      <c r="D27" s="107" t="s">
        <v>14</v>
      </c>
      <c r="E27" s="111">
        <f>'T4'!H41</f>
        <v>655.78480000000002</v>
      </c>
      <c r="F27" s="112">
        <f>F12</f>
        <v>478.26481949150906</v>
      </c>
      <c r="G27" s="111">
        <f>G12</f>
        <v>426.11587319493856</v>
      </c>
      <c r="H27" s="106"/>
    </row>
    <row r="28" spans="2:16" x14ac:dyDescent="0.25">
      <c r="F28" s="62"/>
    </row>
  </sheetData>
  <customSheetViews>
    <customSheetView guid="{9CE83D47-1940-43F4-9510-4E48915AF617}" scale="124" showPageBreaks="1" hiddenColumns="1" view="pageBreakPreview" topLeftCell="B1">
      <selection activeCell="B3" sqref="B3"/>
      <pageMargins left="0.7" right="0.7" top="0.75" bottom="0.75" header="0.3" footer="0.3"/>
      <pageSetup paperSize="9" orientation="portrait" r:id="rId1"/>
    </customSheetView>
  </customSheetViews>
  <mergeCells count="7">
    <mergeCell ref="C23:C24"/>
    <mergeCell ref="B23:B24"/>
    <mergeCell ref="B2:H2"/>
    <mergeCell ref="C8:C9"/>
    <mergeCell ref="B8:B9"/>
    <mergeCell ref="B19:B20"/>
    <mergeCell ref="C19:C20"/>
  </mergeCells>
  <pageMargins left="0.7" right="0.7" top="0.75" bottom="0.75" header="0.3" footer="0.3"/>
  <pageSetup paperSize="9" scale="82" orientation="portrait"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17"/>
  <sheetViews>
    <sheetView topLeftCell="C2" workbookViewId="0">
      <selection activeCell="F2" sqref="F2"/>
    </sheetView>
  </sheetViews>
  <sheetFormatPr defaultRowHeight="15" x14ac:dyDescent="0.25"/>
  <cols>
    <col min="1" max="2" width="9.140625" style="140"/>
    <col min="3" max="3" width="24.7109375" style="140" customWidth="1"/>
    <col min="4" max="4" width="16.42578125" style="140" customWidth="1"/>
    <col min="5" max="5" width="29.28515625" style="140" customWidth="1"/>
    <col min="6" max="6" width="16.5703125" style="140" customWidth="1"/>
    <col min="7" max="13" width="9.140625" style="140"/>
    <col min="14" max="14" width="11.5703125" style="140" bestFit="1" customWidth="1"/>
    <col min="15" max="16384" width="9.140625" style="140"/>
  </cols>
  <sheetData>
    <row r="2" spans="2:6" x14ac:dyDescent="0.25">
      <c r="B2" s="239" t="s">
        <v>438</v>
      </c>
      <c r="C2" s="239"/>
      <c r="D2" s="239"/>
      <c r="E2" s="239"/>
    </row>
    <row r="4" spans="2:6" ht="30" x14ac:dyDescent="0.25">
      <c r="B4" s="139" t="s">
        <v>100</v>
      </c>
      <c r="C4" s="139" t="s">
        <v>6</v>
      </c>
      <c r="D4" s="139" t="s">
        <v>441</v>
      </c>
      <c r="E4" s="139" t="s">
        <v>9</v>
      </c>
    </row>
    <row r="5" spans="2:6" ht="30" x14ac:dyDescent="0.25">
      <c r="B5" s="98" t="s">
        <v>10</v>
      </c>
      <c r="C5" s="98" t="s">
        <v>442</v>
      </c>
      <c r="D5" s="36">
        <v>935.51900000000001</v>
      </c>
      <c r="E5" s="98" t="s">
        <v>643</v>
      </c>
    </row>
    <row r="6" spans="2:6" ht="45" x14ac:dyDescent="0.25">
      <c r="B6" s="98" t="s">
        <v>21</v>
      </c>
      <c r="C6" s="98" t="s">
        <v>907</v>
      </c>
      <c r="D6" s="98">
        <v>3.63</v>
      </c>
      <c r="E6" s="98" t="s">
        <v>643</v>
      </c>
      <c r="F6" s="67" t="s">
        <v>822</v>
      </c>
    </row>
    <row r="7" spans="2:6" x14ac:dyDescent="0.25">
      <c r="B7" s="98" t="s">
        <v>30</v>
      </c>
      <c r="C7" s="98" t="s">
        <v>443</v>
      </c>
      <c r="D7" s="98">
        <v>1.4999999999999999E-2</v>
      </c>
      <c r="E7" s="98"/>
    </row>
    <row r="8" spans="2:6" ht="30" x14ac:dyDescent="0.25">
      <c r="B8" s="98" t="s">
        <v>50</v>
      </c>
      <c r="C8" s="98" t="s">
        <v>444</v>
      </c>
      <c r="D8" s="36">
        <f>D5-D6-D7</f>
        <v>931.87400000000002</v>
      </c>
      <c r="E8" s="98" t="s">
        <v>445</v>
      </c>
    </row>
    <row r="11" spans="2:6" x14ac:dyDescent="0.25">
      <c r="B11" s="239" t="s">
        <v>446</v>
      </c>
      <c r="C11" s="239"/>
      <c r="D11" s="239"/>
      <c r="E11" s="239"/>
    </row>
    <row r="13" spans="2:6" ht="30" x14ac:dyDescent="0.25">
      <c r="B13" s="139" t="s">
        <v>100</v>
      </c>
      <c r="C13" s="139" t="s">
        <v>6</v>
      </c>
      <c r="D13" s="139" t="s">
        <v>441</v>
      </c>
      <c r="E13" s="139" t="s">
        <v>9</v>
      </c>
    </row>
    <row r="14" spans="2:6" ht="40.5" customHeight="1" x14ac:dyDescent="0.25">
      <c r="B14" s="98" t="s">
        <v>10</v>
      </c>
      <c r="C14" s="98" t="s">
        <v>448</v>
      </c>
      <c r="D14" s="98">
        <f>962.92</f>
        <v>962.92</v>
      </c>
      <c r="E14" s="98" t="s">
        <v>821</v>
      </c>
      <c r="F14" s="140" t="s">
        <v>820</v>
      </c>
    </row>
    <row r="15" spans="2:6" ht="30" x14ac:dyDescent="0.25">
      <c r="B15" s="98" t="s">
        <v>21</v>
      </c>
      <c r="C15" s="98" t="s">
        <v>908</v>
      </c>
      <c r="D15" s="98">
        <v>1.18</v>
      </c>
      <c r="E15" s="98" t="s">
        <v>644</v>
      </c>
    </row>
    <row r="16" spans="2:6" x14ac:dyDescent="0.25">
      <c r="B16" s="98" t="s">
        <v>30</v>
      </c>
      <c r="C16" s="98" t="s">
        <v>449</v>
      </c>
      <c r="D16" s="98">
        <v>42.82</v>
      </c>
      <c r="E16" s="98" t="s">
        <v>645</v>
      </c>
    </row>
    <row r="17" spans="2:5" ht="30" x14ac:dyDescent="0.25">
      <c r="B17" s="98" t="s">
        <v>50</v>
      </c>
      <c r="C17" s="98" t="s">
        <v>450</v>
      </c>
      <c r="D17" s="98">
        <f>D14-D15-D16</f>
        <v>918.92</v>
      </c>
      <c r="E17" s="98" t="s">
        <v>445</v>
      </c>
    </row>
  </sheetData>
  <customSheetViews>
    <customSheetView guid="{9CE83D47-1940-43F4-9510-4E48915AF617}">
      <selection activeCell="C18" sqref="C18"/>
      <pageMargins left="0.7" right="0.7" top="0.75" bottom="0.75" header="0.3" footer="0.3"/>
      <pageSetup paperSize="9" orientation="portrait" r:id="rId1"/>
    </customSheetView>
  </customSheetViews>
  <mergeCells count="2">
    <mergeCell ref="B2:E2"/>
    <mergeCell ref="B11:E11"/>
  </mergeCells>
  <pageMargins left="0.7" right="0.7" top="0.75" bottom="0.75" header="0.3" footer="0.3"/>
  <pageSetup paperSize="9" scale="83" orientation="portrait"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41"/>
  <sheetViews>
    <sheetView topLeftCell="B8" workbookViewId="0">
      <selection activeCell="B29" sqref="B29:I29"/>
    </sheetView>
  </sheetViews>
  <sheetFormatPr defaultRowHeight="15" x14ac:dyDescent="0.25"/>
  <cols>
    <col min="1" max="2" width="9.140625" style="2"/>
    <col min="3" max="3" width="28.140625" style="2" customWidth="1"/>
    <col min="4" max="4" width="19.85546875" style="2" customWidth="1"/>
    <col min="5" max="5" width="13.85546875" style="2" customWidth="1"/>
    <col min="6" max="6" width="17.42578125" style="2" customWidth="1"/>
    <col min="7" max="7" width="13.28515625" style="2" customWidth="1"/>
    <col min="8" max="8" width="16.85546875" style="2" customWidth="1"/>
    <col min="9" max="9" width="11.7109375" style="2" customWidth="1"/>
    <col min="10" max="12" width="9.140625" style="2"/>
    <col min="13" max="13" width="11.5703125" style="2" bestFit="1" customWidth="1"/>
    <col min="14" max="16384" width="9.140625" style="2"/>
  </cols>
  <sheetData>
    <row r="2" spans="2:9" x14ac:dyDescent="0.25">
      <c r="B2" s="239" t="s">
        <v>1015</v>
      </c>
      <c r="C2" s="239"/>
      <c r="D2" s="239"/>
      <c r="E2" s="239"/>
      <c r="F2" s="239"/>
    </row>
    <row r="4" spans="2:9" ht="45" x14ac:dyDescent="0.25">
      <c r="B4" s="26" t="s">
        <v>100</v>
      </c>
      <c r="C4" s="26" t="s">
        <v>6</v>
      </c>
      <c r="D4" s="26" t="s">
        <v>453</v>
      </c>
      <c r="E4" s="26" t="s">
        <v>254</v>
      </c>
      <c r="F4" s="26" t="s">
        <v>9</v>
      </c>
      <c r="G4" s="34"/>
    </row>
    <row r="5" spans="2:9" x14ac:dyDescent="0.25">
      <c r="B5" s="26" t="s">
        <v>10</v>
      </c>
      <c r="C5" s="26" t="s">
        <v>229</v>
      </c>
      <c r="D5" s="26"/>
      <c r="E5" s="26"/>
      <c r="F5" s="26"/>
      <c r="G5" s="34"/>
    </row>
    <row r="6" spans="2:9" ht="30" x14ac:dyDescent="0.25">
      <c r="B6" s="25" t="s">
        <v>12</v>
      </c>
      <c r="C6" s="25" t="s">
        <v>456</v>
      </c>
      <c r="D6" s="25">
        <v>2824.17</v>
      </c>
      <c r="E6" s="36">
        <f>'T5'!F79+'T4'!H26</f>
        <v>2122.6865006576945</v>
      </c>
      <c r="F6" s="25" t="s">
        <v>654</v>
      </c>
      <c r="G6" s="102"/>
      <c r="H6" s="62"/>
    </row>
    <row r="7" spans="2:9" x14ac:dyDescent="0.25">
      <c r="B7" s="25" t="s">
        <v>15</v>
      </c>
      <c r="C7" s="25" t="s">
        <v>457</v>
      </c>
      <c r="D7" s="25">
        <v>657.63</v>
      </c>
      <c r="E7" s="36">
        <f>'T6'!F107</f>
        <v>655.78480000000002</v>
      </c>
      <c r="F7" s="25" t="s">
        <v>653</v>
      </c>
      <c r="G7" s="102"/>
    </row>
    <row r="8" spans="2:9" x14ac:dyDescent="0.25">
      <c r="B8" s="25" t="s">
        <v>18</v>
      </c>
      <c r="C8" s="25" t="s">
        <v>458</v>
      </c>
      <c r="D8" s="25">
        <f>D6-D7</f>
        <v>2166.54</v>
      </c>
      <c r="E8" s="36">
        <f>E6-E7</f>
        <v>1466.9017006576946</v>
      </c>
      <c r="F8" s="25" t="s">
        <v>462</v>
      </c>
      <c r="G8" s="102"/>
    </row>
    <row r="9" spans="2:9" x14ac:dyDescent="0.25">
      <c r="B9" s="26" t="s">
        <v>21</v>
      </c>
      <c r="C9" s="26" t="s">
        <v>454</v>
      </c>
      <c r="D9" s="25"/>
      <c r="E9" s="25"/>
      <c r="F9" s="25"/>
      <c r="G9" s="34"/>
    </row>
    <row r="10" spans="2:9" x14ac:dyDescent="0.25">
      <c r="B10" s="25" t="s">
        <v>12</v>
      </c>
      <c r="C10" s="25" t="s">
        <v>459</v>
      </c>
      <c r="D10" s="25">
        <v>30.71</v>
      </c>
      <c r="E10" s="36">
        <f>'Energy Balance'!E9</f>
        <v>24.338832</v>
      </c>
      <c r="F10" s="25"/>
      <c r="G10" s="102"/>
    </row>
    <row r="11" spans="2:9" x14ac:dyDescent="0.25">
      <c r="B11" s="25" t="s">
        <v>15</v>
      </c>
      <c r="C11" s="25" t="s">
        <v>26</v>
      </c>
      <c r="D11" s="25">
        <v>18.350000000000001</v>
      </c>
      <c r="E11" s="36">
        <f>'Energy Balance'!E24</f>
        <v>16.87412456329503</v>
      </c>
      <c r="F11" s="25"/>
      <c r="G11" s="102"/>
    </row>
    <row r="12" spans="2:9" x14ac:dyDescent="0.25">
      <c r="B12" s="25" t="s">
        <v>18</v>
      </c>
      <c r="C12" s="25" t="s">
        <v>460</v>
      </c>
      <c r="D12" s="25">
        <f>SUM(D10:D11)</f>
        <v>49.06</v>
      </c>
      <c r="E12" s="36">
        <f>SUM(E11,E10)</f>
        <v>41.21295656329503</v>
      </c>
      <c r="F12" s="25" t="s">
        <v>463</v>
      </c>
      <c r="G12" s="102"/>
    </row>
    <row r="13" spans="2:9" ht="30" x14ac:dyDescent="0.25">
      <c r="B13" s="26" t="s">
        <v>30</v>
      </c>
      <c r="C13" s="26" t="s">
        <v>455</v>
      </c>
      <c r="D13" s="26">
        <f>D8-D12</f>
        <v>2117.48</v>
      </c>
      <c r="E13" s="40">
        <f>E8-E12</f>
        <v>1425.6887440943997</v>
      </c>
      <c r="F13" s="26" t="s">
        <v>464</v>
      </c>
      <c r="G13" s="102"/>
    </row>
    <row r="16" spans="2:9" x14ac:dyDescent="0.25">
      <c r="B16" s="239" t="s">
        <v>461</v>
      </c>
      <c r="C16" s="239"/>
      <c r="D16" s="239"/>
      <c r="E16" s="239"/>
      <c r="F16" s="239"/>
      <c r="G16" s="239"/>
      <c r="H16" s="239"/>
      <c r="I16" s="239"/>
    </row>
    <row r="18" spans="2:9" x14ac:dyDescent="0.25">
      <c r="B18" s="248" t="s">
        <v>5</v>
      </c>
      <c r="C18" s="244" t="s">
        <v>6</v>
      </c>
      <c r="D18" s="244" t="s">
        <v>37</v>
      </c>
      <c r="E18" s="244"/>
      <c r="F18" s="244" t="s">
        <v>38</v>
      </c>
      <c r="G18" s="244"/>
      <c r="H18" s="244" t="s">
        <v>39</v>
      </c>
      <c r="I18" s="244"/>
    </row>
    <row r="19" spans="2:9" x14ac:dyDescent="0.25">
      <c r="B19" s="250"/>
      <c r="C19" s="244"/>
      <c r="D19" s="26" t="s">
        <v>465</v>
      </c>
      <c r="E19" s="23" t="s">
        <v>17</v>
      </c>
      <c r="F19" s="23" t="s">
        <v>465</v>
      </c>
      <c r="G19" s="23" t="s">
        <v>17</v>
      </c>
      <c r="H19" s="23" t="s">
        <v>465</v>
      </c>
      <c r="I19" s="23" t="s">
        <v>17</v>
      </c>
    </row>
    <row r="20" spans="2:9" x14ac:dyDescent="0.25">
      <c r="B20" s="25" t="s">
        <v>10</v>
      </c>
      <c r="C20" s="25" t="s">
        <v>200</v>
      </c>
      <c r="D20" s="278">
        <v>26.23</v>
      </c>
      <c r="E20" s="25"/>
      <c r="F20" s="25"/>
      <c r="G20" s="25"/>
      <c r="H20" s="25">
        <v>12.58</v>
      </c>
      <c r="I20" s="25"/>
    </row>
    <row r="21" spans="2:9" x14ac:dyDescent="0.25">
      <c r="B21" s="25" t="s">
        <v>21</v>
      </c>
      <c r="C21" s="25" t="s">
        <v>201</v>
      </c>
      <c r="D21" s="271"/>
      <c r="E21" s="25"/>
      <c r="F21" s="25"/>
      <c r="G21" s="25"/>
      <c r="H21" s="25"/>
      <c r="I21" s="25"/>
    </row>
    <row r="22" spans="2:9" x14ac:dyDescent="0.25">
      <c r="B22" s="25" t="s">
        <v>30</v>
      </c>
      <c r="C22" s="25" t="s">
        <v>202</v>
      </c>
      <c r="D22" s="271"/>
      <c r="E22" s="25"/>
      <c r="F22" s="25">
        <v>16.55</v>
      </c>
      <c r="G22" s="25"/>
      <c r="H22" s="25"/>
      <c r="I22" s="25"/>
    </row>
    <row r="23" spans="2:9" x14ac:dyDescent="0.25">
      <c r="B23" s="25" t="s">
        <v>50</v>
      </c>
      <c r="C23" s="25" t="s">
        <v>203</v>
      </c>
      <c r="D23" s="271"/>
      <c r="E23" s="25"/>
      <c r="F23" s="25"/>
      <c r="G23" s="25"/>
      <c r="H23" s="25"/>
      <c r="I23" s="25"/>
    </row>
    <row r="24" spans="2:9" s="49" customFormat="1" x14ac:dyDescent="0.25">
      <c r="B24" s="48"/>
      <c r="C24" s="48" t="s">
        <v>801</v>
      </c>
      <c r="D24" s="272"/>
      <c r="E24" s="48"/>
      <c r="F24" s="48">
        <v>9.19</v>
      </c>
      <c r="G24" s="48"/>
      <c r="H24" s="48">
        <v>0.09</v>
      </c>
      <c r="I24" s="48"/>
    </row>
    <row r="25" spans="2:9" x14ac:dyDescent="0.25">
      <c r="B25" s="25" t="s">
        <v>52</v>
      </c>
      <c r="C25" s="25" t="s">
        <v>204</v>
      </c>
      <c r="D25" s="25"/>
      <c r="E25" s="25"/>
      <c r="F25" s="25"/>
      <c r="G25" s="25"/>
      <c r="H25" s="36">
        <f>'Energy Balance'!E14</f>
        <v>29.444500657695034</v>
      </c>
      <c r="I25" s="25"/>
    </row>
    <row r="26" spans="2:9" x14ac:dyDescent="0.25">
      <c r="B26" s="26" t="s">
        <v>54</v>
      </c>
      <c r="C26" s="26" t="s">
        <v>73</v>
      </c>
      <c r="D26" s="48">
        <f>SUM(D20:D25)</f>
        <v>26.23</v>
      </c>
      <c r="E26" s="25"/>
      <c r="F26" s="25">
        <f>SUM(F20:F25)</f>
        <v>25.740000000000002</v>
      </c>
      <c r="G26" s="25"/>
      <c r="H26" s="36">
        <f>SUM(H20:H25)</f>
        <v>42.114500657695032</v>
      </c>
      <c r="I26" s="25"/>
    </row>
    <row r="29" spans="2:9" x14ac:dyDescent="0.25">
      <c r="B29" s="239" t="s">
        <v>466</v>
      </c>
      <c r="C29" s="239"/>
      <c r="D29" s="239"/>
      <c r="E29" s="239"/>
      <c r="F29" s="239"/>
      <c r="G29" s="239"/>
      <c r="H29" s="239"/>
      <c r="I29" s="239"/>
    </row>
    <row r="31" spans="2:9" x14ac:dyDescent="0.25">
      <c r="B31" s="248" t="s">
        <v>5</v>
      </c>
      <c r="C31" s="279" t="s">
        <v>6</v>
      </c>
      <c r="D31" s="279" t="s">
        <v>37</v>
      </c>
      <c r="E31" s="279"/>
      <c r="F31" s="279" t="s">
        <v>38</v>
      </c>
      <c r="G31" s="279"/>
      <c r="H31" s="279" t="s">
        <v>39</v>
      </c>
      <c r="I31" s="279"/>
    </row>
    <row r="32" spans="2:9" x14ac:dyDescent="0.25">
      <c r="B32" s="250"/>
      <c r="C32" s="279"/>
      <c r="D32" s="23" t="s">
        <v>465</v>
      </c>
      <c r="E32" s="23" t="s">
        <v>17</v>
      </c>
      <c r="F32" s="23" t="s">
        <v>465</v>
      </c>
      <c r="G32" s="23" t="s">
        <v>17</v>
      </c>
      <c r="H32" s="23" t="s">
        <v>465</v>
      </c>
      <c r="I32" s="23" t="s">
        <v>17</v>
      </c>
    </row>
    <row r="33" spans="2:9" x14ac:dyDescent="0.25">
      <c r="B33" s="25" t="s">
        <v>10</v>
      </c>
      <c r="C33" s="25" t="s">
        <v>200</v>
      </c>
      <c r="D33" s="278">
        <v>310.8</v>
      </c>
      <c r="E33" s="25"/>
      <c r="F33" s="278">
        <v>669.01</v>
      </c>
      <c r="G33" s="25"/>
      <c r="H33" s="36">
        <f>'T6'!F99</f>
        <v>18.93</v>
      </c>
      <c r="I33" s="25"/>
    </row>
    <row r="34" spans="2:9" x14ac:dyDescent="0.25">
      <c r="B34" s="25" t="s">
        <v>21</v>
      </c>
      <c r="C34" s="25" t="s">
        <v>201</v>
      </c>
      <c r="D34" s="271"/>
      <c r="E34" s="25"/>
      <c r="F34" s="271"/>
      <c r="G34" s="25"/>
      <c r="H34" s="25"/>
      <c r="I34" s="25"/>
    </row>
    <row r="35" spans="2:9" x14ac:dyDescent="0.25">
      <c r="B35" s="25" t="s">
        <v>30</v>
      </c>
      <c r="C35" s="25" t="s">
        <v>202</v>
      </c>
      <c r="D35" s="271"/>
      <c r="E35" s="25"/>
      <c r="F35" s="271"/>
      <c r="G35" s="25"/>
      <c r="H35" s="36">
        <f>SUM(H36:H37)</f>
        <v>628.85180000000003</v>
      </c>
      <c r="I35" s="25"/>
    </row>
    <row r="36" spans="2:9" s="47" customFormat="1" x14ac:dyDescent="0.25">
      <c r="B36" s="45"/>
      <c r="C36" s="45" t="s">
        <v>603</v>
      </c>
      <c r="D36" s="271"/>
      <c r="E36" s="45"/>
      <c r="F36" s="271"/>
      <c r="G36" s="45"/>
      <c r="H36" s="36">
        <f>'T6'!F102</f>
        <v>482.90780000000001</v>
      </c>
      <c r="I36" s="45"/>
    </row>
    <row r="37" spans="2:9" s="47" customFormat="1" x14ac:dyDescent="0.25">
      <c r="B37" s="45"/>
      <c r="C37" s="45" t="s">
        <v>604</v>
      </c>
      <c r="D37" s="271"/>
      <c r="E37" s="45"/>
      <c r="F37" s="271"/>
      <c r="G37" s="45"/>
      <c r="H37" s="36">
        <f>'T6'!F103</f>
        <v>145.94399999999999</v>
      </c>
      <c r="I37" s="45"/>
    </row>
    <row r="38" spans="2:9" x14ac:dyDescent="0.25">
      <c r="B38" s="25" t="s">
        <v>50</v>
      </c>
      <c r="C38" s="25" t="s">
        <v>203</v>
      </c>
      <c r="D38" s="271"/>
      <c r="E38" s="25"/>
      <c r="F38" s="271"/>
      <c r="G38" s="25"/>
      <c r="H38" s="25"/>
      <c r="I38" s="25"/>
    </row>
    <row r="39" spans="2:9" s="47" customFormat="1" x14ac:dyDescent="0.25">
      <c r="B39" s="45"/>
      <c r="C39" s="45" t="s">
        <v>671</v>
      </c>
      <c r="D39" s="272"/>
      <c r="E39" s="45"/>
      <c r="F39" s="272"/>
      <c r="G39" s="45"/>
      <c r="H39" s="36">
        <f>'T6'!F105</f>
        <v>8.0030000000000001</v>
      </c>
      <c r="I39" s="45"/>
    </row>
    <row r="40" spans="2:9" x14ac:dyDescent="0.25">
      <c r="B40" s="25" t="s">
        <v>52</v>
      </c>
      <c r="C40" s="25" t="s">
        <v>204</v>
      </c>
      <c r="D40" s="25"/>
      <c r="E40" s="25"/>
      <c r="F40" s="25">
        <v>71.7</v>
      </c>
      <c r="G40" s="25"/>
      <c r="H40" s="25"/>
      <c r="I40" s="25"/>
    </row>
    <row r="41" spans="2:9" x14ac:dyDescent="0.25">
      <c r="B41" s="26" t="s">
        <v>54</v>
      </c>
      <c r="C41" s="26" t="s">
        <v>73</v>
      </c>
      <c r="D41" s="60">
        <f>SUM(D40,D39,D35,D34,D33)</f>
        <v>310.8</v>
      </c>
      <c r="E41" s="25"/>
      <c r="F41" s="60">
        <f>SUM(F40,F39,F35,F34,F33)</f>
        <v>740.71</v>
      </c>
      <c r="G41" s="25"/>
      <c r="H41" s="36">
        <f>SUM(H33,H35,H39)</f>
        <v>655.78480000000002</v>
      </c>
      <c r="I41" s="25"/>
    </row>
  </sheetData>
  <customSheetViews>
    <customSheetView guid="{9CE83D47-1940-43F4-9510-4E48915AF617}" topLeftCell="A2">
      <selection activeCell="B4" sqref="B4:E13"/>
      <pageMargins left="0.7" right="0.7" top="0.75" bottom="0.75" header="0.3" footer="0.3"/>
    </customSheetView>
  </customSheetViews>
  <mergeCells count="16">
    <mergeCell ref="F33:F39"/>
    <mergeCell ref="D33:D39"/>
    <mergeCell ref="D20:D24"/>
    <mergeCell ref="B29:I29"/>
    <mergeCell ref="B31:B32"/>
    <mergeCell ref="C31:C32"/>
    <mergeCell ref="D31:E31"/>
    <mergeCell ref="F31:G31"/>
    <mergeCell ref="H31:I31"/>
    <mergeCell ref="B2:F2"/>
    <mergeCell ref="B18:B19"/>
    <mergeCell ref="C18:C19"/>
    <mergeCell ref="B16:I16"/>
    <mergeCell ref="D18:E18"/>
    <mergeCell ref="F18:G18"/>
    <mergeCell ref="H18:I18"/>
  </mergeCells>
  <pageMargins left="0.7" right="0.7" top="0.75" bottom="0.75" header="0.3" footer="0.3"/>
  <pageSetup paperSize="9" scale="62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I116"/>
  <sheetViews>
    <sheetView topLeftCell="A69" workbookViewId="0">
      <selection activeCell="A91" sqref="A91"/>
    </sheetView>
  </sheetViews>
  <sheetFormatPr defaultRowHeight="15" x14ac:dyDescent="0.25"/>
  <cols>
    <col min="1" max="2" width="9.140625" style="2"/>
    <col min="3" max="3" width="23" style="2" customWidth="1"/>
    <col min="4" max="4" width="23.28515625" style="2" customWidth="1"/>
    <col min="5" max="5" width="22.85546875" style="2" customWidth="1"/>
    <col min="6" max="6" width="18.85546875" style="2" customWidth="1"/>
    <col min="7" max="7" width="19.28515625" style="2" customWidth="1"/>
    <col min="8" max="9" width="9.140625" style="2"/>
    <col min="10" max="10" width="10.5703125" style="2" bestFit="1" customWidth="1"/>
    <col min="11" max="11" width="9.5703125" style="2" bestFit="1" customWidth="1"/>
    <col min="12" max="12" width="10.5703125" style="2" bestFit="1" customWidth="1"/>
    <col min="13" max="16" width="9.5703125" style="2" bestFit="1" customWidth="1"/>
    <col min="17" max="17" width="11.5703125" style="2" bestFit="1" customWidth="1"/>
    <col min="18" max="18" width="11.5703125" style="34" bestFit="1" customWidth="1"/>
    <col min="19" max="19" width="9.5703125" style="2" bestFit="1" customWidth="1"/>
    <col min="20" max="20" width="10.5703125" style="2" bestFit="1" customWidth="1"/>
    <col min="21" max="21" width="9.5703125" style="2" bestFit="1" customWidth="1"/>
    <col min="22" max="22" width="9.140625" style="31"/>
    <col min="23" max="23" width="10.5703125" style="2" bestFit="1" customWidth="1"/>
    <col min="24" max="29" width="9.5703125" style="2" bestFit="1" customWidth="1"/>
    <col min="30" max="30" width="9.5703125" style="34" bestFit="1" customWidth="1"/>
    <col min="31" max="31" width="9.5703125" style="2" bestFit="1" customWidth="1"/>
    <col min="32" max="33" width="9.140625" style="2"/>
    <col min="34" max="34" width="9.140625" style="31"/>
    <col min="35" max="16384" width="9.140625" style="2"/>
  </cols>
  <sheetData>
    <row r="1" spans="2:35" x14ac:dyDescent="0.25">
      <c r="J1" s="34"/>
      <c r="K1" s="34"/>
      <c r="L1" s="34"/>
      <c r="M1" s="34"/>
      <c r="N1" s="34"/>
      <c r="O1" s="34"/>
      <c r="P1" s="34"/>
      <c r="Q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E1" s="34"/>
      <c r="AF1" s="34"/>
      <c r="AG1" s="34"/>
      <c r="AH1" s="34"/>
    </row>
    <row r="2" spans="2:35" ht="15" customHeight="1" x14ac:dyDescent="0.25">
      <c r="B2" s="239" t="s">
        <v>819</v>
      </c>
      <c r="C2" s="239"/>
      <c r="D2" s="239"/>
      <c r="E2" s="239"/>
      <c r="F2" s="239"/>
      <c r="J2" s="34"/>
      <c r="K2" s="34"/>
      <c r="L2" s="34"/>
      <c r="M2" s="34"/>
      <c r="N2" s="34"/>
      <c r="O2" s="34"/>
      <c r="P2" s="34"/>
      <c r="Q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E2" s="34"/>
      <c r="AF2" s="34"/>
      <c r="AG2" s="34"/>
      <c r="AH2" s="34"/>
    </row>
    <row r="3" spans="2:35" x14ac:dyDescent="0.25">
      <c r="J3" s="280"/>
      <c r="K3" s="280"/>
      <c r="L3" s="280"/>
      <c r="M3" s="280"/>
      <c r="N3" s="280"/>
      <c r="O3" s="280"/>
      <c r="P3" s="280"/>
      <c r="Q3" s="280"/>
      <c r="R3" s="280"/>
      <c r="S3" s="280"/>
      <c r="T3" s="280"/>
      <c r="U3" s="280"/>
      <c r="V3" s="34"/>
      <c r="W3" s="280"/>
      <c r="X3" s="280"/>
      <c r="Y3" s="280"/>
      <c r="Z3" s="280"/>
      <c r="AA3" s="280"/>
      <c r="AB3" s="280"/>
      <c r="AC3" s="280"/>
      <c r="AD3" s="280"/>
      <c r="AE3" s="280"/>
      <c r="AF3" s="280"/>
      <c r="AG3" s="280"/>
      <c r="AH3" s="280"/>
      <c r="AI3" s="34"/>
    </row>
    <row r="4" spans="2:35" ht="30" x14ac:dyDescent="0.25">
      <c r="B4" s="244" t="s">
        <v>100</v>
      </c>
      <c r="C4" s="244" t="s">
        <v>109</v>
      </c>
      <c r="D4" s="39" t="s">
        <v>655</v>
      </c>
      <c r="E4" s="39" t="s">
        <v>656</v>
      </c>
      <c r="F4" s="42" t="s">
        <v>117</v>
      </c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41"/>
      <c r="AE4" s="34"/>
      <c r="AH4" s="2"/>
    </row>
    <row r="5" spans="2:35" x14ac:dyDescent="0.25">
      <c r="B5" s="244"/>
      <c r="C5" s="244"/>
      <c r="D5" s="38" t="s">
        <v>657</v>
      </c>
      <c r="E5" s="38" t="s">
        <v>657</v>
      </c>
      <c r="F5" s="38" t="s">
        <v>657</v>
      </c>
      <c r="T5" s="30"/>
      <c r="V5" s="2"/>
      <c r="AH5" s="2"/>
    </row>
    <row r="6" spans="2:35" ht="45" x14ac:dyDescent="0.25">
      <c r="B6" s="39" t="s">
        <v>10</v>
      </c>
      <c r="C6" s="39" t="s">
        <v>123</v>
      </c>
      <c r="D6" s="38"/>
      <c r="E6" s="38"/>
      <c r="F6" s="38"/>
      <c r="T6" s="30"/>
      <c r="V6" s="2"/>
      <c r="AH6" s="2"/>
    </row>
    <row r="7" spans="2:35" x14ac:dyDescent="0.25">
      <c r="B7" s="39" t="s">
        <v>21</v>
      </c>
      <c r="C7" s="39" t="s">
        <v>124</v>
      </c>
      <c r="D7" s="38"/>
      <c r="E7" s="38"/>
      <c r="F7" s="38"/>
      <c r="T7" s="30"/>
      <c r="V7" s="2"/>
      <c r="AB7" s="30"/>
      <c r="AC7" s="30"/>
      <c r="AH7" s="2"/>
    </row>
    <row r="8" spans="2:35" x14ac:dyDescent="0.25">
      <c r="B8" s="38" t="s">
        <v>12</v>
      </c>
      <c r="C8" s="38" t="s">
        <v>125</v>
      </c>
      <c r="D8" s="38"/>
      <c r="E8" s="38"/>
      <c r="F8" s="38"/>
      <c r="T8" s="30"/>
      <c r="V8" s="2"/>
      <c r="AB8" s="30"/>
      <c r="AC8" s="30"/>
      <c r="AH8" s="2"/>
    </row>
    <row r="9" spans="2:35" x14ac:dyDescent="0.25">
      <c r="B9" s="38" t="s">
        <v>15</v>
      </c>
      <c r="C9" s="38" t="s">
        <v>126</v>
      </c>
      <c r="D9" s="38"/>
      <c r="E9" s="38"/>
      <c r="F9" s="38"/>
      <c r="T9" s="30"/>
      <c r="V9" s="2"/>
      <c r="AB9" s="30"/>
      <c r="AC9" s="30"/>
      <c r="AH9" s="2"/>
    </row>
    <row r="10" spans="2:35" x14ac:dyDescent="0.25">
      <c r="B10" s="38" t="s">
        <v>18</v>
      </c>
      <c r="C10" s="38" t="s">
        <v>127</v>
      </c>
      <c r="D10" s="38"/>
      <c r="E10" s="38"/>
      <c r="F10" s="38"/>
      <c r="T10" s="30"/>
      <c r="V10" s="2"/>
      <c r="AB10" s="30"/>
      <c r="AC10" s="30"/>
      <c r="AH10" s="2"/>
    </row>
    <row r="11" spans="2:35" x14ac:dyDescent="0.25">
      <c r="B11" s="38" t="s">
        <v>19</v>
      </c>
      <c r="C11" s="38" t="s">
        <v>128</v>
      </c>
      <c r="D11" s="38"/>
      <c r="E11" s="38"/>
      <c r="F11" s="38">
        <v>724.37</v>
      </c>
      <c r="T11" s="30"/>
      <c r="V11" s="2"/>
      <c r="AB11" s="30"/>
      <c r="AC11" s="30"/>
      <c r="AH11" s="2"/>
    </row>
    <row r="12" spans="2:35" x14ac:dyDescent="0.25">
      <c r="B12" s="38" t="s">
        <v>27</v>
      </c>
      <c r="C12" s="38" t="s">
        <v>129</v>
      </c>
      <c r="D12" s="38"/>
      <c r="E12" s="38"/>
      <c r="F12" s="38"/>
      <c r="T12" s="30"/>
      <c r="V12" s="2"/>
      <c r="AB12" s="30"/>
      <c r="AC12" s="30"/>
      <c r="AH12" s="2"/>
    </row>
    <row r="13" spans="2:35" x14ac:dyDescent="0.25">
      <c r="B13" s="38" t="s">
        <v>130</v>
      </c>
      <c r="C13" s="38" t="s">
        <v>131</v>
      </c>
      <c r="D13" s="38"/>
      <c r="E13" s="38"/>
      <c r="F13" s="38"/>
      <c r="T13" s="30"/>
      <c r="V13" s="2"/>
      <c r="AB13" s="30"/>
      <c r="AC13" s="30"/>
      <c r="AH13" s="2"/>
    </row>
    <row r="14" spans="2:35" x14ac:dyDescent="0.25">
      <c r="B14" s="38" t="s">
        <v>132</v>
      </c>
      <c r="C14" s="38" t="s">
        <v>133</v>
      </c>
      <c r="D14" s="38"/>
      <c r="E14" s="38"/>
      <c r="F14" s="38"/>
      <c r="T14" s="30"/>
      <c r="V14" s="2"/>
      <c r="AB14" s="30"/>
      <c r="AC14" s="30"/>
      <c r="AH14" s="2"/>
    </row>
    <row r="15" spans="2:35" x14ac:dyDescent="0.25">
      <c r="B15" s="38" t="s">
        <v>134</v>
      </c>
      <c r="C15" s="38" t="s">
        <v>135</v>
      </c>
      <c r="D15" s="38"/>
      <c r="E15" s="38"/>
      <c r="F15" s="38"/>
      <c r="T15" s="30"/>
      <c r="V15" s="2"/>
      <c r="AB15" s="30"/>
      <c r="AC15" s="30"/>
      <c r="AH15" s="2"/>
    </row>
    <row r="16" spans="2:35" x14ac:dyDescent="0.25">
      <c r="B16" s="38" t="s">
        <v>136</v>
      </c>
      <c r="C16" s="38" t="s">
        <v>137</v>
      </c>
      <c r="D16" s="38"/>
      <c r="E16" s="38"/>
      <c r="F16" s="38"/>
      <c r="T16" s="30"/>
      <c r="V16" s="2"/>
      <c r="AB16" s="30"/>
      <c r="AC16" s="30"/>
      <c r="AH16" s="2"/>
    </row>
    <row r="17" spans="2:34" x14ac:dyDescent="0.25">
      <c r="B17" s="38" t="s">
        <v>140</v>
      </c>
      <c r="C17" s="38" t="s">
        <v>138</v>
      </c>
      <c r="D17" s="38"/>
      <c r="E17" s="38"/>
      <c r="F17" s="38"/>
      <c r="T17" s="30"/>
      <c r="V17" s="2"/>
      <c r="AB17" s="30"/>
      <c r="AC17" s="30"/>
      <c r="AH17" s="2"/>
    </row>
    <row r="18" spans="2:34" x14ac:dyDescent="0.25">
      <c r="B18" s="38" t="s">
        <v>141</v>
      </c>
      <c r="C18" s="38" t="s">
        <v>139</v>
      </c>
      <c r="D18" s="38"/>
      <c r="E18" s="38"/>
      <c r="F18" s="38"/>
      <c r="T18" s="30"/>
      <c r="V18" s="2"/>
      <c r="AB18" s="30"/>
      <c r="AC18" s="30"/>
      <c r="AH18" s="2"/>
    </row>
    <row r="19" spans="2:34" x14ac:dyDescent="0.25">
      <c r="B19" s="38" t="s">
        <v>142</v>
      </c>
      <c r="C19" s="38" t="s">
        <v>143</v>
      </c>
      <c r="D19" s="38"/>
      <c r="E19" s="38"/>
      <c r="F19" s="38"/>
      <c r="T19" s="30"/>
      <c r="V19" s="2"/>
      <c r="AB19" s="30"/>
      <c r="AC19" s="30"/>
      <c r="AH19" s="2"/>
    </row>
    <row r="20" spans="2:34" x14ac:dyDescent="0.25">
      <c r="B20" s="38" t="s">
        <v>144</v>
      </c>
      <c r="C20" s="38" t="s">
        <v>147</v>
      </c>
      <c r="D20" s="38"/>
      <c r="E20" s="38"/>
      <c r="F20" s="38"/>
      <c r="T20" s="30"/>
      <c r="V20" s="2"/>
      <c r="AB20" s="30"/>
      <c r="AC20" s="30"/>
      <c r="AH20" s="2"/>
    </row>
    <row r="21" spans="2:34" x14ac:dyDescent="0.25">
      <c r="B21" s="38" t="s">
        <v>145</v>
      </c>
      <c r="C21" s="38" t="s">
        <v>148</v>
      </c>
      <c r="D21" s="38"/>
      <c r="E21" s="38"/>
      <c r="F21" s="38"/>
      <c r="T21" s="30"/>
      <c r="V21" s="2"/>
      <c r="AB21" s="30"/>
      <c r="AC21" s="30"/>
      <c r="AH21" s="2"/>
    </row>
    <row r="22" spans="2:34" x14ac:dyDescent="0.25">
      <c r="B22" s="38" t="s">
        <v>146</v>
      </c>
      <c r="C22" s="38" t="s">
        <v>149</v>
      </c>
      <c r="D22" s="38"/>
      <c r="E22" s="38"/>
      <c r="F22" s="38"/>
      <c r="T22" s="30"/>
      <c r="V22" s="2"/>
      <c r="AB22" s="30"/>
      <c r="AC22" s="30"/>
      <c r="AH22" s="2"/>
    </row>
    <row r="23" spans="2:34" x14ac:dyDescent="0.25">
      <c r="B23" s="38" t="s">
        <v>150</v>
      </c>
      <c r="C23" s="38" t="s">
        <v>151</v>
      </c>
      <c r="D23" s="38"/>
      <c r="E23" s="38"/>
      <c r="F23" s="38"/>
      <c r="T23" s="30"/>
      <c r="V23" s="2"/>
      <c r="AB23" s="30"/>
      <c r="AC23" s="30"/>
      <c r="AH23" s="2"/>
    </row>
    <row r="24" spans="2:34" x14ac:dyDescent="0.25">
      <c r="B24" s="38" t="s">
        <v>152</v>
      </c>
      <c r="C24" s="39" t="s">
        <v>73</v>
      </c>
      <c r="D24" s="38"/>
      <c r="E24" s="38"/>
      <c r="F24" s="38">
        <f>SUM(F7:F23)</f>
        <v>724.37</v>
      </c>
      <c r="T24" s="30"/>
      <c r="V24" s="2"/>
      <c r="AB24" s="30"/>
      <c r="AC24" s="30"/>
      <c r="AH24" s="2"/>
    </row>
    <row r="25" spans="2:34" x14ac:dyDescent="0.25">
      <c r="B25" s="38"/>
      <c r="C25" s="38"/>
      <c r="D25" s="38"/>
      <c r="E25" s="38"/>
      <c r="F25" s="38"/>
      <c r="T25" s="30"/>
      <c r="V25" s="2"/>
      <c r="AB25" s="30"/>
      <c r="AC25" s="30"/>
      <c r="AH25" s="2"/>
    </row>
    <row r="26" spans="2:34" x14ac:dyDescent="0.25">
      <c r="B26" s="39" t="s">
        <v>30</v>
      </c>
      <c r="C26" s="39" t="s">
        <v>153</v>
      </c>
      <c r="D26" s="38"/>
      <c r="E26" s="38"/>
      <c r="F26" s="38"/>
      <c r="T26" s="30"/>
      <c r="V26" s="2"/>
      <c r="AB26" s="30"/>
      <c r="AC26" s="30"/>
      <c r="AH26" s="2"/>
    </row>
    <row r="27" spans="2:34" x14ac:dyDescent="0.25">
      <c r="B27" s="38" t="s">
        <v>12</v>
      </c>
      <c r="C27" s="38" t="s">
        <v>154</v>
      </c>
      <c r="D27" s="38"/>
      <c r="E27" s="38"/>
      <c r="F27" s="38"/>
      <c r="T27" s="30"/>
      <c r="V27" s="2"/>
      <c r="AB27" s="30"/>
      <c r="AC27" s="30"/>
      <c r="AH27" s="2"/>
    </row>
    <row r="28" spans="2:34" x14ac:dyDescent="0.25">
      <c r="B28" s="38" t="s">
        <v>15</v>
      </c>
      <c r="C28" s="38" t="s">
        <v>155</v>
      </c>
      <c r="D28" s="38"/>
      <c r="E28" s="38"/>
      <c r="F28" s="38"/>
      <c r="T28" s="30"/>
      <c r="V28" s="2"/>
      <c r="AB28" s="30"/>
      <c r="AC28" s="30"/>
      <c r="AH28" s="2"/>
    </row>
    <row r="29" spans="2:34" x14ac:dyDescent="0.25">
      <c r="B29" s="38" t="s">
        <v>18</v>
      </c>
      <c r="C29" s="38" t="s">
        <v>156</v>
      </c>
      <c r="D29" s="38"/>
      <c r="E29" s="38"/>
      <c r="F29" s="38"/>
      <c r="T29" s="30"/>
      <c r="V29" s="2"/>
      <c r="AB29" s="30"/>
      <c r="AC29" s="30"/>
      <c r="AH29" s="2"/>
    </row>
    <row r="30" spans="2:34" x14ac:dyDescent="0.25">
      <c r="B30" s="38" t="s">
        <v>19</v>
      </c>
      <c r="C30" s="38" t="s">
        <v>157</v>
      </c>
      <c r="D30" s="38"/>
      <c r="E30" s="38"/>
      <c r="F30" s="38"/>
      <c r="T30" s="30"/>
      <c r="V30" s="2"/>
      <c r="AB30" s="30"/>
      <c r="AC30" s="30"/>
      <c r="AH30" s="2"/>
    </row>
    <row r="31" spans="2:34" x14ac:dyDescent="0.25">
      <c r="B31" s="38" t="s">
        <v>27</v>
      </c>
      <c r="C31" s="38" t="s">
        <v>158</v>
      </c>
      <c r="D31" s="38"/>
      <c r="E31" s="38"/>
      <c r="F31" s="38"/>
      <c r="T31" s="30"/>
      <c r="V31" s="2"/>
      <c r="AB31" s="30"/>
      <c r="AC31" s="30"/>
      <c r="AH31" s="2"/>
    </row>
    <row r="32" spans="2:34" x14ac:dyDescent="0.25">
      <c r="B32" s="38" t="s">
        <v>130</v>
      </c>
      <c r="C32" s="38" t="s">
        <v>159</v>
      </c>
      <c r="D32" s="38"/>
      <c r="E32" s="38"/>
      <c r="F32" s="38"/>
      <c r="T32" s="30"/>
      <c r="V32" s="2"/>
      <c r="AB32" s="30"/>
      <c r="AC32" s="30"/>
      <c r="AH32" s="2"/>
    </row>
    <row r="33" spans="2:34" x14ac:dyDescent="0.25">
      <c r="B33" s="38" t="s">
        <v>132</v>
      </c>
      <c r="C33" s="38" t="s">
        <v>160</v>
      </c>
      <c r="D33" s="38"/>
      <c r="E33" s="38"/>
      <c r="F33" s="38"/>
      <c r="T33" s="30"/>
      <c r="V33" s="2"/>
      <c r="AB33" s="30"/>
      <c r="AC33" s="30"/>
      <c r="AH33" s="2"/>
    </row>
    <row r="34" spans="2:34" x14ac:dyDescent="0.25">
      <c r="B34" s="38" t="s">
        <v>134</v>
      </c>
      <c r="C34" s="38" t="s">
        <v>161</v>
      </c>
      <c r="D34" s="38"/>
      <c r="E34" s="38"/>
      <c r="F34" s="38"/>
      <c r="T34" s="30"/>
      <c r="V34" s="2"/>
      <c r="AB34" s="30"/>
      <c r="AC34" s="30"/>
      <c r="AH34" s="2"/>
    </row>
    <row r="35" spans="2:34" x14ac:dyDescent="0.25">
      <c r="B35" s="38" t="s">
        <v>136</v>
      </c>
      <c r="C35" s="38" t="s">
        <v>162</v>
      </c>
      <c r="D35" s="38"/>
      <c r="E35" s="38"/>
      <c r="F35" s="38"/>
      <c r="T35" s="30"/>
      <c r="V35" s="2"/>
      <c r="AB35" s="30"/>
      <c r="AC35" s="30"/>
      <c r="AH35" s="2"/>
    </row>
    <row r="36" spans="2:34" x14ac:dyDescent="0.25">
      <c r="B36" s="38" t="s">
        <v>140</v>
      </c>
      <c r="C36" s="38" t="s">
        <v>163</v>
      </c>
      <c r="D36" s="38"/>
      <c r="E36" s="38"/>
      <c r="F36" s="38"/>
      <c r="T36" s="30"/>
      <c r="V36" s="2"/>
      <c r="AB36" s="30"/>
      <c r="AC36" s="30"/>
      <c r="AH36" s="2"/>
    </row>
    <row r="37" spans="2:34" x14ac:dyDescent="0.25">
      <c r="B37" s="38" t="s">
        <v>141</v>
      </c>
      <c r="C37" s="38" t="s">
        <v>164</v>
      </c>
      <c r="D37" s="38"/>
      <c r="E37" s="38"/>
      <c r="F37" s="38"/>
      <c r="T37" s="30"/>
      <c r="V37" s="2"/>
      <c r="AB37" s="30"/>
      <c r="AC37" s="30"/>
      <c r="AH37" s="2"/>
    </row>
    <row r="38" spans="2:34" x14ac:dyDescent="0.25">
      <c r="B38" s="38" t="s">
        <v>142</v>
      </c>
      <c r="C38" s="38" t="s">
        <v>165</v>
      </c>
      <c r="D38" s="38"/>
      <c r="E38" s="38"/>
      <c r="F38" s="38"/>
      <c r="T38" s="30"/>
      <c r="V38" s="2"/>
      <c r="AB38" s="30"/>
      <c r="AC38" s="30"/>
      <c r="AH38" s="2"/>
    </row>
    <row r="39" spans="2:34" x14ac:dyDescent="0.25">
      <c r="B39" s="38" t="s">
        <v>144</v>
      </c>
      <c r="C39" s="39" t="s">
        <v>73</v>
      </c>
      <c r="D39" s="38"/>
      <c r="E39" s="38"/>
      <c r="F39" s="38"/>
      <c r="T39" s="30"/>
      <c r="V39" s="2"/>
      <c r="AB39" s="30"/>
      <c r="AC39" s="30"/>
      <c r="AH39" s="2"/>
    </row>
    <row r="40" spans="2:34" x14ac:dyDescent="0.25">
      <c r="B40" s="38"/>
      <c r="C40" s="38"/>
      <c r="D40" s="38"/>
      <c r="E40" s="38"/>
      <c r="F40" s="38"/>
      <c r="T40" s="30"/>
      <c r="V40" s="2"/>
      <c r="AB40" s="30"/>
      <c r="AC40" s="30"/>
      <c r="AH40" s="2"/>
    </row>
    <row r="41" spans="2:34" x14ac:dyDescent="0.25">
      <c r="B41" s="39" t="s">
        <v>50</v>
      </c>
      <c r="C41" s="39" t="s">
        <v>166</v>
      </c>
      <c r="D41" s="38"/>
      <c r="E41" s="38"/>
      <c r="F41" s="38"/>
      <c r="T41" s="30"/>
      <c r="V41" s="2"/>
      <c r="AB41" s="30"/>
      <c r="AC41" s="30"/>
      <c r="AH41" s="2"/>
    </row>
    <row r="42" spans="2:34" x14ac:dyDescent="0.25">
      <c r="B42" s="38" t="s">
        <v>12</v>
      </c>
      <c r="C42" s="38" t="s">
        <v>167</v>
      </c>
      <c r="D42" s="38"/>
      <c r="E42" s="38"/>
      <c r="F42" s="38"/>
      <c r="T42" s="30"/>
      <c r="V42" s="2"/>
      <c r="AB42" s="30"/>
      <c r="AC42" s="30"/>
      <c r="AH42" s="2"/>
    </row>
    <row r="43" spans="2:34" x14ac:dyDescent="0.25">
      <c r="B43" s="38" t="s">
        <v>15</v>
      </c>
      <c r="C43" s="38" t="s">
        <v>168</v>
      </c>
      <c r="D43" s="38"/>
      <c r="E43" s="38"/>
      <c r="F43" s="38"/>
      <c r="T43" s="30"/>
      <c r="V43" s="2"/>
      <c r="AB43" s="30"/>
      <c r="AC43" s="30"/>
      <c r="AH43" s="2"/>
    </row>
    <row r="44" spans="2:34" x14ac:dyDescent="0.25">
      <c r="B44" s="38" t="s">
        <v>18</v>
      </c>
      <c r="C44" s="39" t="s">
        <v>73</v>
      </c>
      <c r="D44" s="38"/>
      <c r="E44" s="38"/>
      <c r="F44" s="38"/>
      <c r="T44" s="30"/>
      <c r="V44" s="2"/>
      <c r="AB44" s="30"/>
      <c r="AC44" s="30"/>
      <c r="AH44" s="2"/>
    </row>
    <row r="45" spans="2:34" x14ac:dyDescent="0.25">
      <c r="B45" s="38"/>
      <c r="C45" s="38"/>
      <c r="D45" s="38"/>
      <c r="E45" s="38"/>
      <c r="F45" s="38"/>
      <c r="T45" s="30"/>
      <c r="V45" s="2"/>
      <c r="AB45" s="30"/>
      <c r="AC45" s="30"/>
      <c r="AH45" s="2"/>
    </row>
    <row r="46" spans="2:34" x14ac:dyDescent="0.25">
      <c r="B46" s="39" t="s">
        <v>52</v>
      </c>
      <c r="C46" s="39" t="s">
        <v>169</v>
      </c>
      <c r="D46" s="38"/>
      <c r="E46" s="38"/>
      <c r="F46" s="38"/>
      <c r="T46" s="30"/>
      <c r="V46" s="2"/>
      <c r="AB46" s="30"/>
      <c r="AC46" s="30"/>
      <c r="AH46" s="2"/>
    </row>
    <row r="47" spans="2:34" x14ac:dyDescent="0.25">
      <c r="B47" s="38" t="s">
        <v>12</v>
      </c>
      <c r="C47" s="38"/>
      <c r="D47" s="38"/>
      <c r="E47" s="38"/>
      <c r="F47" s="38"/>
      <c r="T47" s="30"/>
      <c r="V47" s="2"/>
      <c r="AB47" s="30"/>
      <c r="AC47" s="30"/>
      <c r="AH47" s="2"/>
    </row>
    <row r="48" spans="2:34" x14ac:dyDescent="0.25">
      <c r="B48" s="38" t="s">
        <v>15</v>
      </c>
      <c r="C48" s="38"/>
      <c r="D48" s="38"/>
      <c r="E48" s="38"/>
      <c r="F48" s="38"/>
      <c r="T48" s="30"/>
      <c r="V48" s="2"/>
      <c r="AB48" s="30"/>
      <c r="AC48" s="30"/>
      <c r="AH48" s="2"/>
    </row>
    <row r="49" spans="2:34" x14ac:dyDescent="0.25">
      <c r="B49" s="38" t="s">
        <v>18</v>
      </c>
      <c r="C49" s="39" t="s">
        <v>73</v>
      </c>
      <c r="D49" s="38"/>
      <c r="E49" s="38"/>
      <c r="F49" s="38"/>
      <c r="T49" s="30"/>
      <c r="V49" s="2"/>
      <c r="AB49" s="30"/>
      <c r="AC49" s="30"/>
      <c r="AH49" s="2"/>
    </row>
    <row r="50" spans="2:34" x14ac:dyDescent="0.25">
      <c r="B50" s="38"/>
      <c r="C50" s="38"/>
      <c r="D50" s="38"/>
      <c r="E50" s="38"/>
      <c r="F50" s="38"/>
      <c r="T50" s="30"/>
      <c r="V50" s="2"/>
      <c r="AB50" s="30"/>
      <c r="AC50" s="30"/>
      <c r="AH50" s="2"/>
    </row>
    <row r="51" spans="2:34" x14ac:dyDescent="0.25">
      <c r="B51" s="39" t="s">
        <v>54</v>
      </c>
      <c r="C51" s="39" t="s">
        <v>170</v>
      </c>
      <c r="D51" s="38"/>
      <c r="E51" s="38"/>
      <c r="F51" s="38"/>
      <c r="T51" s="30"/>
      <c r="V51" s="2"/>
      <c r="AB51" s="30"/>
      <c r="AC51" s="30"/>
      <c r="AH51" s="2"/>
    </row>
    <row r="52" spans="2:34" x14ac:dyDescent="0.25">
      <c r="B52" s="38" t="s">
        <v>12</v>
      </c>
      <c r="C52" s="38" t="s">
        <v>171</v>
      </c>
      <c r="D52" s="38"/>
      <c r="E52" s="38"/>
      <c r="F52" s="38"/>
      <c r="T52" s="30"/>
      <c r="V52" s="2"/>
      <c r="AB52" s="30"/>
      <c r="AC52" s="30"/>
      <c r="AH52" s="2"/>
    </row>
    <row r="53" spans="2:34" x14ac:dyDescent="0.25">
      <c r="B53" s="38" t="s">
        <v>15</v>
      </c>
      <c r="C53" s="38" t="s">
        <v>172</v>
      </c>
      <c r="D53" s="38"/>
      <c r="E53" s="38"/>
      <c r="F53" s="38"/>
      <c r="T53" s="30"/>
      <c r="V53" s="2"/>
      <c r="AB53" s="30"/>
      <c r="AC53" s="30"/>
      <c r="AH53" s="2"/>
    </row>
    <row r="54" spans="2:34" x14ac:dyDescent="0.25">
      <c r="B54" s="38" t="s">
        <v>18</v>
      </c>
      <c r="C54" s="38" t="s">
        <v>173</v>
      </c>
      <c r="D54" s="38"/>
      <c r="E54" s="38"/>
      <c r="F54" s="38"/>
      <c r="T54" s="30"/>
      <c r="V54" s="2"/>
      <c r="AB54" s="30"/>
      <c r="AC54" s="30"/>
      <c r="AH54" s="2"/>
    </row>
    <row r="55" spans="2:34" x14ac:dyDescent="0.25">
      <c r="B55" s="38" t="s">
        <v>19</v>
      </c>
      <c r="C55" s="39" t="s">
        <v>73</v>
      </c>
      <c r="D55" s="38"/>
      <c r="E55" s="38"/>
      <c r="F55" s="38"/>
      <c r="T55" s="30"/>
      <c r="V55" s="2"/>
      <c r="AB55" s="30"/>
      <c r="AC55" s="30"/>
      <c r="AH55" s="2"/>
    </row>
    <row r="56" spans="2:34" x14ac:dyDescent="0.25">
      <c r="B56" s="38"/>
      <c r="C56" s="38"/>
      <c r="D56" s="38"/>
      <c r="E56" s="38"/>
      <c r="F56" s="38"/>
      <c r="T56" s="30"/>
      <c r="V56" s="2"/>
      <c r="AB56" s="30"/>
      <c r="AC56" s="30"/>
      <c r="AH56" s="2"/>
    </row>
    <row r="57" spans="2:34" x14ac:dyDescent="0.25">
      <c r="B57" s="39" t="s">
        <v>58</v>
      </c>
      <c r="C57" s="39" t="s">
        <v>174</v>
      </c>
      <c r="D57" s="38"/>
      <c r="E57" s="38"/>
      <c r="F57" s="38"/>
      <c r="T57" s="30"/>
      <c r="V57" s="2"/>
      <c r="AB57" s="30"/>
      <c r="AC57" s="30"/>
      <c r="AH57" s="2"/>
    </row>
    <row r="58" spans="2:34" x14ac:dyDescent="0.25">
      <c r="B58" s="38" t="s">
        <v>12</v>
      </c>
      <c r="C58" s="38"/>
      <c r="D58" s="38"/>
      <c r="E58" s="38"/>
      <c r="F58" s="38"/>
      <c r="T58" s="30"/>
      <c r="V58" s="2"/>
      <c r="AB58" s="30"/>
      <c r="AC58" s="30"/>
      <c r="AH58" s="2"/>
    </row>
    <row r="59" spans="2:34" x14ac:dyDescent="0.25">
      <c r="B59" s="38" t="s">
        <v>15</v>
      </c>
      <c r="C59" s="38"/>
      <c r="D59" s="38"/>
      <c r="E59" s="38"/>
      <c r="F59" s="38"/>
      <c r="T59" s="30"/>
      <c r="V59" s="2"/>
      <c r="AB59" s="30"/>
      <c r="AC59" s="30"/>
      <c r="AH59" s="2"/>
    </row>
    <row r="60" spans="2:34" x14ac:dyDescent="0.25">
      <c r="B60" s="38" t="s">
        <v>18</v>
      </c>
      <c r="C60" s="39" t="s">
        <v>73</v>
      </c>
      <c r="D60" s="38"/>
      <c r="E60" s="38"/>
      <c r="F60" s="38"/>
      <c r="T60" s="30"/>
      <c r="V60" s="2"/>
      <c r="AB60" s="30"/>
      <c r="AC60" s="30"/>
      <c r="AH60" s="2"/>
    </row>
    <row r="61" spans="2:34" x14ac:dyDescent="0.25">
      <c r="B61" s="38"/>
      <c r="C61" s="38"/>
      <c r="D61" s="38"/>
      <c r="E61" s="38"/>
      <c r="F61" s="38"/>
      <c r="T61" s="30"/>
      <c r="V61" s="2"/>
      <c r="AB61" s="30"/>
      <c r="AC61" s="30"/>
      <c r="AH61" s="2"/>
    </row>
    <row r="62" spans="2:34" x14ac:dyDescent="0.25">
      <c r="B62" s="39" t="s">
        <v>61</v>
      </c>
      <c r="C62" s="39" t="s">
        <v>72</v>
      </c>
      <c r="D62" s="38"/>
      <c r="E62" s="38"/>
      <c r="F62" s="38"/>
      <c r="T62" s="30"/>
      <c r="V62" s="2"/>
      <c r="AB62" s="30"/>
      <c r="AC62" s="30"/>
      <c r="AH62" s="2"/>
    </row>
    <row r="63" spans="2:34" x14ac:dyDescent="0.25">
      <c r="B63" s="38" t="s">
        <v>12</v>
      </c>
      <c r="C63" s="38" t="s">
        <v>175</v>
      </c>
      <c r="D63" s="38"/>
      <c r="E63" s="38"/>
      <c r="F63" s="38"/>
      <c r="T63" s="30"/>
      <c r="V63" s="2"/>
      <c r="AB63" s="30"/>
      <c r="AC63" s="30"/>
      <c r="AH63" s="2"/>
    </row>
    <row r="64" spans="2:34" x14ac:dyDescent="0.25">
      <c r="B64" s="38" t="s">
        <v>15</v>
      </c>
      <c r="C64" s="38"/>
      <c r="D64" s="38"/>
      <c r="E64" s="38"/>
      <c r="F64" s="38"/>
      <c r="T64" s="30"/>
      <c r="V64" s="2"/>
      <c r="AB64" s="30"/>
      <c r="AC64" s="30"/>
      <c r="AH64" s="2"/>
    </row>
    <row r="65" spans="2:34" x14ac:dyDescent="0.25">
      <c r="B65" s="38" t="s">
        <v>18</v>
      </c>
      <c r="C65" s="39" t="s">
        <v>73</v>
      </c>
      <c r="D65" s="38"/>
      <c r="E65" s="38"/>
      <c r="F65" s="38"/>
      <c r="T65" s="30"/>
      <c r="V65" s="2"/>
      <c r="AB65" s="30"/>
      <c r="AC65" s="30"/>
      <c r="AH65" s="2"/>
    </row>
    <row r="66" spans="2:34" x14ac:dyDescent="0.25">
      <c r="B66" s="38" t="s">
        <v>63</v>
      </c>
      <c r="C66" s="38" t="s">
        <v>176</v>
      </c>
      <c r="D66" s="38"/>
      <c r="E66" s="38"/>
      <c r="F66" s="38"/>
      <c r="T66" s="30"/>
      <c r="V66" s="2"/>
      <c r="AB66" s="30"/>
      <c r="AC66" s="30"/>
      <c r="AH66" s="2"/>
    </row>
    <row r="67" spans="2:34" x14ac:dyDescent="0.25">
      <c r="B67" s="39"/>
      <c r="C67" s="39" t="s">
        <v>605</v>
      </c>
      <c r="D67" s="38"/>
      <c r="E67" s="38"/>
      <c r="F67" s="38"/>
      <c r="T67" s="30"/>
      <c r="V67" s="2"/>
      <c r="AB67" s="30"/>
      <c r="AC67" s="30"/>
      <c r="AH67" s="2"/>
    </row>
    <row r="68" spans="2:34" x14ac:dyDescent="0.25">
      <c r="B68" s="39"/>
      <c r="C68" s="39"/>
      <c r="D68" s="38"/>
      <c r="E68" s="38"/>
      <c r="F68" s="38"/>
      <c r="T68" s="30"/>
      <c r="V68" s="2"/>
      <c r="AB68" s="30"/>
      <c r="AC68" s="30"/>
      <c r="AH68" s="2"/>
    </row>
    <row r="69" spans="2:34" ht="30" x14ac:dyDescent="0.25">
      <c r="B69" s="39" t="s">
        <v>65</v>
      </c>
      <c r="C69" s="39" t="s">
        <v>177</v>
      </c>
      <c r="D69" s="38"/>
      <c r="E69" s="38"/>
      <c r="F69" s="38"/>
      <c r="T69" s="30"/>
      <c r="V69" s="2"/>
      <c r="AB69" s="30"/>
      <c r="AC69" s="30"/>
      <c r="AH69" s="2"/>
    </row>
    <row r="70" spans="2:34" x14ac:dyDescent="0.25">
      <c r="B70" s="38" t="s">
        <v>12</v>
      </c>
      <c r="C70" s="38" t="s">
        <v>178</v>
      </c>
      <c r="D70" s="38"/>
      <c r="E70" s="38"/>
      <c r="F70" s="38">
        <v>635.41</v>
      </c>
      <c r="T70" s="30"/>
      <c r="V70" s="2"/>
      <c r="AB70" s="30"/>
      <c r="AC70" s="30"/>
      <c r="AH70" s="2"/>
    </row>
    <row r="71" spans="2:34" x14ac:dyDescent="0.25">
      <c r="B71" s="38" t="s">
        <v>15</v>
      </c>
      <c r="C71" s="38" t="s">
        <v>179</v>
      </c>
      <c r="D71" s="38"/>
      <c r="E71" s="38"/>
      <c r="F71" s="38">
        <v>0</v>
      </c>
      <c r="T71" s="30"/>
      <c r="V71" s="2"/>
      <c r="AB71" s="30"/>
      <c r="AC71" s="30"/>
      <c r="AH71" s="2"/>
    </row>
    <row r="72" spans="2:34" x14ac:dyDescent="0.25">
      <c r="B72" s="38" t="s">
        <v>18</v>
      </c>
      <c r="C72" s="38" t="s">
        <v>180</v>
      </c>
      <c r="D72" s="38"/>
      <c r="E72" s="38"/>
      <c r="F72" s="38">
        <v>0.496</v>
      </c>
      <c r="T72" s="30"/>
      <c r="V72" s="2"/>
      <c r="AB72" s="30"/>
      <c r="AC72" s="30"/>
      <c r="AH72" s="2"/>
    </row>
    <row r="73" spans="2:34" x14ac:dyDescent="0.25">
      <c r="B73" s="38" t="s">
        <v>19</v>
      </c>
      <c r="C73" s="38" t="s">
        <v>181</v>
      </c>
      <c r="D73" s="38"/>
      <c r="E73" s="38"/>
      <c r="F73" s="38">
        <v>1.1359999999999999</v>
      </c>
      <c r="T73" s="30"/>
      <c r="V73" s="2"/>
      <c r="AB73" s="30"/>
      <c r="AC73" s="30"/>
      <c r="AH73" s="2"/>
    </row>
    <row r="74" spans="2:34" x14ac:dyDescent="0.25">
      <c r="B74" s="38" t="s">
        <v>27</v>
      </c>
      <c r="C74" s="38" t="s">
        <v>182</v>
      </c>
      <c r="D74" s="38"/>
      <c r="E74" s="38"/>
      <c r="F74" s="38">
        <v>671.71</v>
      </c>
      <c r="T74" s="30"/>
      <c r="V74" s="2"/>
      <c r="AB74" s="30"/>
      <c r="AC74" s="30"/>
      <c r="AH74" s="2"/>
    </row>
    <row r="75" spans="2:34" x14ac:dyDescent="0.25">
      <c r="B75" s="38" t="s">
        <v>130</v>
      </c>
      <c r="C75" s="138" t="s">
        <v>601</v>
      </c>
      <c r="D75" s="38"/>
      <c r="E75" s="38"/>
      <c r="F75" s="38">
        <v>47.12</v>
      </c>
      <c r="T75" s="30"/>
      <c r="V75" s="2"/>
      <c r="AB75" s="30"/>
      <c r="AC75" s="30"/>
      <c r="AH75" s="2"/>
    </row>
    <row r="76" spans="2:34" x14ac:dyDescent="0.25">
      <c r="B76" s="38"/>
      <c r="C76" s="39" t="s">
        <v>183</v>
      </c>
      <c r="D76" s="38"/>
      <c r="E76" s="38"/>
      <c r="F76" s="38">
        <f>SUM(F70:F75)</f>
        <v>1355.8719999999998</v>
      </c>
      <c r="T76" s="30"/>
      <c r="V76" s="2"/>
      <c r="AB76" s="30"/>
      <c r="AC76" s="30"/>
      <c r="AH76" s="2"/>
    </row>
    <row r="77" spans="2:34" s="84" customFormat="1" x14ac:dyDescent="0.25">
      <c r="B77" s="82"/>
      <c r="C77" s="83"/>
      <c r="D77" s="82"/>
      <c r="E77" s="82"/>
      <c r="F77" s="82"/>
      <c r="R77" s="34"/>
      <c r="AD77" s="34"/>
    </row>
    <row r="78" spans="2:34" x14ac:dyDescent="0.25">
      <c r="B78" s="38"/>
      <c r="C78" s="39" t="s">
        <v>889</v>
      </c>
      <c r="D78" s="38"/>
      <c r="E78" s="38"/>
      <c r="F78" s="36">
        <v>0.33</v>
      </c>
      <c r="U78" s="34"/>
      <c r="V78" s="34"/>
      <c r="W78" s="34"/>
      <c r="X78" s="34"/>
      <c r="Y78" s="34"/>
      <c r="Z78" s="34"/>
      <c r="AA78" s="34"/>
      <c r="AB78" s="34"/>
      <c r="AC78" s="34"/>
      <c r="AE78" s="34"/>
      <c r="AF78" s="34"/>
      <c r="AG78" s="34"/>
      <c r="AH78" s="34"/>
    </row>
    <row r="79" spans="2:34" x14ac:dyDescent="0.25">
      <c r="B79" s="39" t="s">
        <v>67</v>
      </c>
      <c r="C79" s="39" t="s">
        <v>184</v>
      </c>
      <c r="D79" s="38"/>
      <c r="E79" s="38"/>
      <c r="F79" s="36">
        <f>SUM(F76:F78,F24)</f>
        <v>2080.5719999999997</v>
      </c>
      <c r="G79" s="62"/>
      <c r="T79" s="30"/>
      <c r="U79" s="34"/>
      <c r="V79" s="34"/>
      <c r="W79" s="34"/>
      <c r="X79" s="34"/>
      <c r="Y79" s="34"/>
      <c r="Z79" s="34"/>
      <c r="AA79" s="34"/>
      <c r="AB79" s="34"/>
      <c r="AC79" s="34"/>
      <c r="AE79" s="34"/>
      <c r="AF79" s="34"/>
      <c r="AG79" s="34"/>
      <c r="AH79" s="34"/>
    </row>
    <row r="80" spans="2:34" x14ac:dyDescent="0.25">
      <c r="I80" s="30"/>
      <c r="J80" s="29"/>
      <c r="K80" s="29"/>
      <c r="L80" s="29"/>
      <c r="M80" s="29"/>
      <c r="N80" s="29"/>
      <c r="O80" s="29"/>
      <c r="P80" s="29"/>
      <c r="Q80" s="29"/>
      <c r="R80" s="41"/>
      <c r="S80" s="29"/>
      <c r="U80" s="41"/>
      <c r="V80" s="34"/>
      <c r="W80" s="34"/>
      <c r="X80" s="34"/>
      <c r="Y80" s="34"/>
      <c r="Z80" s="34"/>
      <c r="AA80" s="34"/>
      <c r="AB80" s="34"/>
      <c r="AC80" s="34"/>
      <c r="AE80" s="34"/>
      <c r="AF80" s="34"/>
      <c r="AG80" s="34"/>
      <c r="AH80" s="34"/>
    </row>
    <row r="81" spans="2:34" x14ac:dyDescent="0.25">
      <c r="I81" s="30"/>
      <c r="U81" s="34"/>
      <c r="V81" s="34"/>
      <c r="W81" s="34"/>
      <c r="X81" s="34"/>
      <c r="Y81" s="34"/>
      <c r="Z81" s="34"/>
      <c r="AA81" s="34"/>
      <c r="AB81" s="34"/>
      <c r="AC81" s="34"/>
      <c r="AE81" s="34"/>
      <c r="AF81" s="34"/>
      <c r="AG81" s="34"/>
      <c r="AH81" s="34"/>
    </row>
    <row r="82" spans="2:34" ht="15" customHeight="1" x14ac:dyDescent="0.25">
      <c r="B82" s="9"/>
      <c r="C82" s="9"/>
      <c r="D82" s="9"/>
      <c r="E82" s="9"/>
      <c r="F82" s="85"/>
      <c r="G82" s="9"/>
      <c r="I82" s="30"/>
      <c r="U82" s="34"/>
      <c r="V82" s="34"/>
      <c r="W82" s="34"/>
      <c r="X82" s="34"/>
      <c r="Y82" s="34"/>
      <c r="Z82" s="34"/>
      <c r="AA82" s="34"/>
      <c r="AB82" s="34"/>
      <c r="AC82" s="34"/>
      <c r="AE82" s="34"/>
      <c r="AF82" s="34"/>
      <c r="AG82" s="34"/>
      <c r="AH82" s="34"/>
    </row>
    <row r="83" spans="2:34" x14ac:dyDescent="0.25">
      <c r="B83" s="34"/>
      <c r="C83" s="34"/>
      <c r="D83" s="34"/>
      <c r="E83" s="34"/>
      <c r="F83" s="34"/>
      <c r="G83" s="34"/>
      <c r="I83" s="30"/>
      <c r="T83" s="30"/>
      <c r="U83" s="34"/>
      <c r="V83" s="34"/>
      <c r="W83" s="34"/>
      <c r="X83" s="34"/>
      <c r="Y83" s="34"/>
      <c r="Z83" s="34"/>
      <c r="AA83" s="34"/>
      <c r="AB83" s="34"/>
      <c r="AC83" s="34"/>
      <c r="AE83" s="34"/>
      <c r="AF83" s="34"/>
      <c r="AG83" s="34"/>
      <c r="AH83" s="34"/>
    </row>
    <row r="84" spans="2:34" x14ac:dyDescent="0.25">
      <c r="B84" s="34"/>
      <c r="C84" s="34"/>
      <c r="D84" s="34"/>
      <c r="E84" s="34"/>
      <c r="F84" s="34"/>
      <c r="G84" s="34"/>
      <c r="H84" s="29"/>
      <c r="I84" s="29"/>
      <c r="J84" s="29"/>
      <c r="K84" s="29"/>
      <c r="L84" s="29"/>
      <c r="M84" s="29"/>
      <c r="N84" s="29"/>
      <c r="O84" s="29"/>
      <c r="P84" s="29"/>
      <c r="Q84" s="29"/>
      <c r="S84" s="29"/>
      <c r="T84" s="30"/>
      <c r="U84" s="29"/>
      <c r="V84" s="29"/>
      <c r="W84" s="29"/>
      <c r="X84" s="29"/>
      <c r="Y84" s="29"/>
      <c r="Z84" s="29"/>
      <c r="AA84" s="29"/>
      <c r="AB84" s="30"/>
      <c r="AC84" s="30"/>
      <c r="AH84" s="2"/>
    </row>
    <row r="85" spans="2:34" x14ac:dyDescent="0.25">
      <c r="B85" s="34"/>
      <c r="C85" s="34"/>
      <c r="D85" s="34"/>
      <c r="E85" s="34"/>
      <c r="F85" s="34"/>
      <c r="G85" s="34"/>
      <c r="V85" s="2"/>
      <c r="AB85" s="30"/>
      <c r="AC85" s="30"/>
      <c r="AH85" s="2"/>
    </row>
    <row r="86" spans="2:34" x14ac:dyDescent="0.25">
      <c r="B86" s="34"/>
      <c r="C86" s="34"/>
      <c r="D86" s="34"/>
      <c r="E86" s="34"/>
      <c r="F86" s="34"/>
      <c r="G86" s="34"/>
      <c r="T86" s="30"/>
      <c r="V86" s="2"/>
      <c r="AB86" s="30"/>
      <c r="AC86" s="30"/>
      <c r="AH86" s="2"/>
    </row>
    <row r="87" spans="2:34" x14ac:dyDescent="0.25">
      <c r="B87" s="34"/>
      <c r="C87" s="34"/>
      <c r="D87" s="34"/>
      <c r="E87" s="34"/>
      <c r="F87" s="34"/>
      <c r="G87" s="34"/>
      <c r="T87" s="30"/>
      <c r="V87" s="2"/>
      <c r="AB87" s="30"/>
      <c r="AC87" s="30"/>
      <c r="AH87" s="2"/>
    </row>
    <row r="88" spans="2:34" x14ac:dyDescent="0.25">
      <c r="B88" s="34"/>
      <c r="C88" s="34"/>
      <c r="D88" s="34"/>
      <c r="E88" s="34"/>
      <c r="F88" s="34"/>
      <c r="G88" s="34"/>
      <c r="T88" s="30"/>
      <c r="V88" s="2"/>
      <c r="AB88" s="30"/>
      <c r="AC88" s="30"/>
      <c r="AH88" s="2"/>
    </row>
    <row r="89" spans="2:34" x14ac:dyDescent="0.25">
      <c r="B89" s="34"/>
      <c r="C89" s="34"/>
      <c r="D89" s="34"/>
      <c r="E89" s="34"/>
      <c r="F89" s="34"/>
      <c r="G89" s="34"/>
      <c r="T89" s="30"/>
      <c r="V89" s="2"/>
      <c r="AB89" s="30"/>
      <c r="AC89" s="30"/>
      <c r="AH89" s="2"/>
    </row>
    <row r="90" spans="2:34" x14ac:dyDescent="0.25">
      <c r="B90" s="34"/>
      <c r="C90" s="34"/>
      <c r="D90" s="34"/>
      <c r="E90" s="34"/>
      <c r="F90" s="34"/>
      <c r="G90" s="34"/>
      <c r="T90" s="30"/>
      <c r="V90" s="2"/>
      <c r="AB90" s="30"/>
      <c r="AC90" s="30"/>
      <c r="AH90" s="2"/>
    </row>
    <row r="91" spans="2:34" x14ac:dyDescent="0.25">
      <c r="B91" s="34"/>
      <c r="C91" s="34"/>
      <c r="D91" s="34"/>
      <c r="E91" s="34"/>
      <c r="F91" s="34"/>
      <c r="G91" s="34"/>
      <c r="T91" s="30"/>
      <c r="V91" s="2"/>
      <c r="AB91" s="30"/>
      <c r="AC91" s="30"/>
      <c r="AH91" s="2"/>
    </row>
    <row r="92" spans="2:34" x14ac:dyDescent="0.25">
      <c r="B92" s="34"/>
      <c r="C92" s="34"/>
      <c r="D92" s="34"/>
      <c r="E92" s="34"/>
      <c r="F92" s="34"/>
      <c r="G92" s="34"/>
      <c r="T92" s="30"/>
      <c r="V92" s="2"/>
      <c r="AB92" s="30"/>
      <c r="AC92" s="30"/>
      <c r="AH92" s="2"/>
    </row>
    <row r="93" spans="2:34" x14ac:dyDescent="0.25">
      <c r="B93" s="34"/>
      <c r="C93" s="34"/>
      <c r="D93" s="34"/>
      <c r="E93" s="34"/>
      <c r="F93" s="34"/>
      <c r="G93" s="34"/>
      <c r="V93" s="2"/>
      <c r="AB93" s="30"/>
      <c r="AC93" s="30"/>
      <c r="AH93" s="2"/>
    </row>
    <row r="94" spans="2:34" x14ac:dyDescent="0.25">
      <c r="B94" s="34"/>
      <c r="C94" s="8"/>
      <c r="D94" s="34"/>
      <c r="E94" s="34"/>
      <c r="F94" s="34"/>
      <c r="G94" s="34"/>
      <c r="T94" s="30"/>
      <c r="V94" s="2"/>
      <c r="AB94" s="30"/>
      <c r="AC94" s="30"/>
      <c r="AH94" s="2"/>
    </row>
    <row r="95" spans="2:34" x14ac:dyDescent="0.25">
      <c r="E95" s="30"/>
      <c r="V95" s="2"/>
      <c r="AB95" s="30"/>
      <c r="AC95" s="30"/>
      <c r="AH95" s="2"/>
    </row>
    <row r="96" spans="2:34" x14ac:dyDescent="0.25">
      <c r="E96" s="30"/>
      <c r="V96" s="2"/>
      <c r="AB96" s="30"/>
      <c r="AC96" s="30"/>
      <c r="AH96" s="2"/>
    </row>
    <row r="97" spans="2:34" x14ac:dyDescent="0.25">
      <c r="E97" s="30"/>
      <c r="F97" s="281"/>
      <c r="G97" s="281"/>
      <c r="H97" s="281"/>
      <c r="I97" s="281"/>
      <c r="J97" s="281"/>
      <c r="K97" s="281"/>
      <c r="L97" s="281"/>
      <c r="M97" s="281"/>
      <c r="N97" s="281"/>
      <c r="O97" s="281"/>
      <c r="P97" s="281"/>
      <c r="Q97" s="281"/>
      <c r="V97" s="2"/>
      <c r="AB97" s="30"/>
      <c r="AC97" s="30"/>
      <c r="AH97" s="2"/>
    </row>
    <row r="98" spans="2:34" x14ac:dyDescent="0.25">
      <c r="B98" s="44"/>
      <c r="C98" s="44"/>
      <c r="E98" s="30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V98" s="2"/>
      <c r="AB98" s="30"/>
      <c r="AC98" s="30"/>
      <c r="AH98" s="2"/>
    </row>
    <row r="99" spans="2:34" x14ac:dyDescent="0.25">
      <c r="B99" s="44"/>
      <c r="C99" s="44"/>
      <c r="E99" s="30"/>
      <c r="V99" s="2"/>
      <c r="AB99" s="30"/>
      <c r="AC99" s="30"/>
      <c r="AH99" s="2"/>
    </row>
    <row r="100" spans="2:34" x14ac:dyDescent="0.25">
      <c r="B100" s="6"/>
      <c r="C100" s="6"/>
      <c r="E100" s="30"/>
      <c r="V100" s="2"/>
      <c r="AB100" s="30"/>
      <c r="AC100" s="30"/>
      <c r="AH100" s="2"/>
    </row>
    <row r="101" spans="2:34" x14ac:dyDescent="0.25">
      <c r="B101" s="6"/>
      <c r="C101" s="6"/>
      <c r="E101" s="30"/>
      <c r="V101" s="2"/>
      <c r="AB101" s="30"/>
      <c r="AC101" s="30"/>
      <c r="AH101" s="2"/>
    </row>
    <row r="102" spans="2:34" x14ac:dyDescent="0.25">
      <c r="B102" s="6"/>
      <c r="C102" s="6"/>
      <c r="E102" s="30"/>
      <c r="V102" s="2"/>
      <c r="AB102" s="30"/>
      <c r="AC102" s="30"/>
      <c r="AH102" s="2"/>
    </row>
    <row r="103" spans="2:34" x14ac:dyDescent="0.25">
      <c r="B103" s="6"/>
      <c r="C103" s="43"/>
      <c r="E103" s="30"/>
      <c r="V103" s="2"/>
      <c r="AB103" s="30"/>
      <c r="AC103" s="30"/>
      <c r="AH103" s="2"/>
    </row>
    <row r="104" spans="2:34" x14ac:dyDescent="0.25">
      <c r="B104" s="6"/>
      <c r="C104" s="43"/>
      <c r="E104" s="30"/>
      <c r="V104" s="2"/>
      <c r="AB104" s="30"/>
      <c r="AC104" s="30"/>
      <c r="AH104" s="2"/>
    </row>
    <row r="105" spans="2:34" x14ac:dyDescent="0.25">
      <c r="B105" s="6"/>
      <c r="C105" s="6"/>
      <c r="E105" s="30"/>
      <c r="V105" s="2"/>
      <c r="AB105" s="30"/>
      <c r="AC105" s="30"/>
      <c r="AH105" s="2"/>
    </row>
    <row r="106" spans="2:34" x14ac:dyDescent="0.25">
      <c r="B106" s="6"/>
      <c r="C106" s="43"/>
      <c r="E106" s="30"/>
      <c r="V106" s="2"/>
      <c r="AB106" s="30"/>
      <c r="AC106" s="30"/>
      <c r="AH106" s="2"/>
    </row>
    <row r="107" spans="2:34" x14ac:dyDescent="0.25">
      <c r="B107" s="6"/>
      <c r="C107" s="6"/>
      <c r="E107" s="30"/>
      <c r="V107" s="2"/>
      <c r="AB107" s="30"/>
      <c r="AC107" s="30"/>
      <c r="AH107" s="2"/>
    </row>
    <row r="108" spans="2:34" x14ac:dyDescent="0.25">
      <c r="B108" s="7"/>
      <c r="C108" s="7"/>
      <c r="E108" s="30"/>
      <c r="V108" s="2"/>
      <c r="AB108" s="30"/>
      <c r="AC108" s="30"/>
      <c r="AH108" s="2"/>
    </row>
    <row r="109" spans="2:34" x14ac:dyDescent="0.25">
      <c r="B109" s="6"/>
      <c r="C109" s="6"/>
      <c r="E109" s="30"/>
      <c r="V109" s="2"/>
      <c r="AB109" s="30"/>
      <c r="AC109" s="30"/>
      <c r="AH109" s="2"/>
    </row>
    <row r="110" spans="2:34" x14ac:dyDescent="0.25">
      <c r="E110" s="30"/>
      <c r="V110" s="2"/>
      <c r="AB110" s="30"/>
      <c r="AC110" s="30"/>
      <c r="AH110" s="2"/>
    </row>
    <row r="111" spans="2:34" x14ac:dyDescent="0.25">
      <c r="C111" s="27"/>
      <c r="E111" s="30"/>
      <c r="V111" s="2"/>
      <c r="AB111" s="30"/>
      <c r="AC111" s="30"/>
      <c r="AH111" s="2"/>
    </row>
    <row r="112" spans="2:34" x14ac:dyDescent="0.25">
      <c r="V112" s="2"/>
      <c r="AH112" s="2"/>
    </row>
    <row r="113" spans="22:34" x14ac:dyDescent="0.25">
      <c r="V113" s="2"/>
      <c r="AH113" s="2"/>
    </row>
    <row r="114" spans="22:34" x14ac:dyDescent="0.25">
      <c r="V114" s="2"/>
      <c r="AH114" s="2"/>
    </row>
    <row r="115" spans="22:34" x14ac:dyDescent="0.25">
      <c r="V115" s="2"/>
      <c r="AH115" s="2"/>
    </row>
    <row r="116" spans="22:34" x14ac:dyDescent="0.25">
      <c r="V116" s="2"/>
      <c r="AH116" s="2"/>
    </row>
  </sheetData>
  <customSheetViews>
    <customSheetView guid="{9CE83D47-1940-43F4-9510-4E48915AF617}" topLeftCell="E1">
      <selection activeCell="K3" sqref="K3:L3"/>
      <pageMargins left="0.7" right="0.7" top="0.75" bottom="0.75" header="0.3" footer="0.3"/>
    </customSheetView>
  </customSheetViews>
  <mergeCells count="6">
    <mergeCell ref="B2:F2"/>
    <mergeCell ref="W3:AH3"/>
    <mergeCell ref="J3:U3"/>
    <mergeCell ref="F97:Q97"/>
    <mergeCell ref="B4:B5"/>
    <mergeCell ref="C4:C5"/>
  </mergeCells>
  <pageMargins left="0.7" right="0.7" top="0.75" bottom="0.75" header="0.3" footer="0.3"/>
  <pageSetup paperSize="9" scale="22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118"/>
  <sheetViews>
    <sheetView topLeftCell="B1" zoomScale="95" zoomScaleNormal="95" workbookViewId="0">
      <selection activeCell="H1" sqref="H1"/>
    </sheetView>
  </sheetViews>
  <sheetFormatPr defaultRowHeight="15" x14ac:dyDescent="0.25"/>
  <cols>
    <col min="1" max="2" width="9.140625" style="143"/>
    <col min="3" max="3" width="24.140625" style="143" customWidth="1"/>
    <col min="4" max="4" width="16" style="143" customWidth="1"/>
    <col min="5" max="5" width="15.42578125" style="143" customWidth="1"/>
    <col min="6" max="6" width="16.85546875" style="143" customWidth="1"/>
    <col min="7" max="7" width="18" style="143" customWidth="1"/>
    <col min="8" max="8" width="15.28515625" style="143" customWidth="1"/>
    <col min="9" max="9" width="23" style="143" customWidth="1"/>
    <col min="10" max="13" width="9.140625" style="143"/>
    <col min="14" max="14" width="13.85546875" style="143" bestFit="1" customWidth="1"/>
    <col min="15" max="16384" width="9.140625" style="143"/>
  </cols>
  <sheetData>
    <row r="2" spans="2:9" x14ac:dyDescent="0.25">
      <c r="B2" s="264" t="s">
        <v>469</v>
      </c>
      <c r="C2" s="264"/>
      <c r="D2" s="264"/>
      <c r="E2" s="264"/>
      <c r="F2" s="264"/>
      <c r="G2" s="264"/>
      <c r="H2" s="264"/>
      <c r="I2" s="264"/>
    </row>
    <row r="4" spans="2:9" x14ac:dyDescent="0.25">
      <c r="B4" s="289" t="s">
        <v>100</v>
      </c>
      <c r="C4" s="289" t="s">
        <v>109</v>
      </c>
      <c r="D4" s="142" t="s">
        <v>117</v>
      </c>
      <c r="E4" s="142" t="s">
        <v>188</v>
      </c>
      <c r="F4" s="142" t="s">
        <v>190</v>
      </c>
      <c r="G4" s="142" t="s">
        <v>191</v>
      </c>
      <c r="H4" s="142" t="s">
        <v>192</v>
      </c>
      <c r="I4" s="142" t="s">
        <v>9</v>
      </c>
    </row>
    <row r="5" spans="2:9" x14ac:dyDescent="0.25">
      <c r="B5" s="289"/>
      <c r="C5" s="289"/>
      <c r="D5" s="142" t="s">
        <v>14</v>
      </c>
      <c r="E5" s="142" t="s">
        <v>189</v>
      </c>
      <c r="F5" s="142" t="s">
        <v>189</v>
      </c>
      <c r="G5" s="142" t="s">
        <v>470</v>
      </c>
      <c r="H5" s="142" t="s">
        <v>193</v>
      </c>
      <c r="I5" s="138"/>
    </row>
    <row r="6" spans="2:9" x14ac:dyDescent="0.25">
      <c r="B6" s="142">
        <v>1</v>
      </c>
      <c r="C6" s="142">
        <v>2</v>
      </c>
      <c r="D6" s="142">
        <v>3</v>
      </c>
      <c r="E6" s="142">
        <v>4</v>
      </c>
      <c r="F6" s="142">
        <v>5</v>
      </c>
      <c r="G6" s="142" t="s">
        <v>186</v>
      </c>
      <c r="H6" s="142" t="s">
        <v>187</v>
      </c>
      <c r="I6" s="142">
        <v>8</v>
      </c>
    </row>
    <row r="7" spans="2:9" ht="45" x14ac:dyDescent="0.25">
      <c r="B7" s="142"/>
      <c r="C7" s="142" t="s">
        <v>123</v>
      </c>
      <c r="D7" s="138"/>
      <c r="E7" s="138"/>
      <c r="F7" s="138"/>
      <c r="G7" s="138"/>
      <c r="H7" s="138"/>
      <c r="I7" s="138"/>
    </row>
    <row r="8" spans="2:9" x14ac:dyDescent="0.25">
      <c r="B8" s="142" t="s">
        <v>10</v>
      </c>
      <c r="C8" s="142" t="s">
        <v>124</v>
      </c>
      <c r="D8" s="138"/>
      <c r="E8" s="138"/>
      <c r="F8" s="138"/>
      <c r="G8" s="138"/>
      <c r="H8" s="138"/>
      <c r="I8" s="138"/>
    </row>
    <row r="9" spans="2:9" x14ac:dyDescent="0.25">
      <c r="B9" s="138" t="s">
        <v>12</v>
      </c>
      <c r="C9" s="138" t="s">
        <v>125</v>
      </c>
      <c r="D9" s="138"/>
      <c r="E9" s="138"/>
      <c r="F9" s="138"/>
      <c r="G9" s="138"/>
      <c r="H9" s="138"/>
      <c r="I9" s="138"/>
    </row>
    <row r="10" spans="2:9" x14ac:dyDescent="0.25">
      <c r="B10" s="138" t="s">
        <v>15</v>
      </c>
      <c r="C10" s="138" t="s">
        <v>126</v>
      </c>
      <c r="D10" s="138"/>
      <c r="E10" s="138"/>
      <c r="F10" s="138"/>
      <c r="G10" s="138"/>
      <c r="H10" s="138"/>
      <c r="I10" s="138"/>
    </row>
    <row r="11" spans="2:9" x14ac:dyDescent="0.25">
      <c r="B11" s="138" t="s">
        <v>18</v>
      </c>
      <c r="C11" s="138" t="s">
        <v>127</v>
      </c>
      <c r="D11" s="138"/>
      <c r="E11" s="138"/>
      <c r="F11" s="138"/>
      <c r="G11" s="138"/>
      <c r="H11" s="138"/>
      <c r="I11" s="138"/>
    </row>
    <row r="12" spans="2:9" x14ac:dyDescent="0.25">
      <c r="B12" s="138" t="s">
        <v>19</v>
      </c>
      <c r="C12" s="138" t="s">
        <v>128</v>
      </c>
      <c r="D12" s="138"/>
      <c r="E12" s="138"/>
      <c r="F12" s="138"/>
      <c r="G12" s="138"/>
      <c r="H12" s="138"/>
      <c r="I12" s="138"/>
    </row>
    <row r="13" spans="2:9" x14ac:dyDescent="0.25">
      <c r="B13" s="138" t="s">
        <v>27</v>
      </c>
      <c r="C13" s="138" t="s">
        <v>129</v>
      </c>
      <c r="D13" s="138"/>
      <c r="E13" s="138"/>
      <c r="F13" s="138"/>
      <c r="G13" s="138"/>
      <c r="H13" s="138"/>
      <c r="I13" s="138"/>
    </row>
    <row r="14" spans="2:9" x14ac:dyDescent="0.25">
      <c r="B14" s="138" t="s">
        <v>130</v>
      </c>
      <c r="C14" s="138" t="s">
        <v>131</v>
      </c>
      <c r="D14" s="138"/>
      <c r="E14" s="138"/>
      <c r="F14" s="138"/>
      <c r="G14" s="138"/>
      <c r="H14" s="138"/>
      <c r="I14" s="138"/>
    </row>
    <row r="15" spans="2:9" x14ac:dyDescent="0.25">
      <c r="B15" s="138" t="s">
        <v>132</v>
      </c>
      <c r="C15" s="138" t="s">
        <v>133</v>
      </c>
      <c r="D15" s="138"/>
      <c r="E15" s="138"/>
      <c r="F15" s="138"/>
      <c r="G15" s="138"/>
      <c r="H15" s="138"/>
      <c r="I15" s="138"/>
    </row>
    <row r="16" spans="2:9" x14ac:dyDescent="0.25">
      <c r="B16" s="138" t="s">
        <v>134</v>
      </c>
      <c r="C16" s="138" t="s">
        <v>135</v>
      </c>
      <c r="D16" s="138"/>
      <c r="E16" s="138"/>
      <c r="F16" s="138"/>
      <c r="G16" s="138"/>
      <c r="H16" s="138"/>
      <c r="I16" s="138"/>
    </row>
    <row r="17" spans="2:9" x14ac:dyDescent="0.25">
      <c r="B17" s="138" t="s">
        <v>136</v>
      </c>
      <c r="C17" s="138" t="s">
        <v>137</v>
      </c>
      <c r="D17" s="138"/>
      <c r="E17" s="138"/>
      <c r="F17" s="138"/>
      <c r="G17" s="138"/>
      <c r="H17" s="138"/>
      <c r="I17" s="138"/>
    </row>
    <row r="18" spans="2:9" x14ac:dyDescent="0.25">
      <c r="B18" s="138" t="s">
        <v>140</v>
      </c>
      <c r="C18" s="138" t="s">
        <v>138</v>
      </c>
      <c r="D18" s="138"/>
      <c r="E18" s="138"/>
      <c r="F18" s="138"/>
      <c r="G18" s="138"/>
      <c r="H18" s="138"/>
      <c r="I18" s="138"/>
    </row>
    <row r="19" spans="2:9" x14ac:dyDescent="0.25">
      <c r="B19" s="138" t="s">
        <v>141</v>
      </c>
      <c r="C19" s="138" t="s">
        <v>139</v>
      </c>
      <c r="D19" s="138"/>
      <c r="E19" s="138"/>
      <c r="F19" s="138"/>
      <c r="G19" s="138"/>
      <c r="H19" s="138"/>
      <c r="I19" s="138"/>
    </row>
    <row r="20" spans="2:9" x14ac:dyDescent="0.25">
      <c r="B20" s="138" t="s">
        <v>142</v>
      </c>
      <c r="C20" s="138" t="s">
        <v>143</v>
      </c>
      <c r="D20" s="138"/>
      <c r="E20" s="138"/>
      <c r="F20" s="138"/>
      <c r="G20" s="138"/>
      <c r="H20" s="138"/>
      <c r="I20" s="138"/>
    </row>
    <row r="21" spans="2:9" x14ac:dyDescent="0.25">
      <c r="B21" s="138" t="s">
        <v>144</v>
      </c>
      <c r="C21" s="138" t="s">
        <v>147</v>
      </c>
      <c r="D21" s="138"/>
      <c r="E21" s="138"/>
      <c r="F21" s="138"/>
      <c r="G21" s="138"/>
      <c r="H21" s="138"/>
      <c r="I21" s="138"/>
    </row>
    <row r="22" spans="2:9" x14ac:dyDescent="0.25">
      <c r="B22" s="138" t="s">
        <v>145</v>
      </c>
      <c r="C22" s="138" t="s">
        <v>148</v>
      </c>
      <c r="D22" s="138"/>
      <c r="E22" s="138"/>
      <c r="F22" s="138"/>
      <c r="G22" s="138"/>
      <c r="H22" s="138"/>
      <c r="I22" s="138"/>
    </row>
    <row r="23" spans="2:9" x14ac:dyDescent="0.25">
      <c r="B23" s="138" t="s">
        <v>146</v>
      </c>
      <c r="C23" s="138" t="s">
        <v>149</v>
      </c>
      <c r="D23" s="138"/>
      <c r="E23" s="138"/>
      <c r="F23" s="138"/>
      <c r="G23" s="138"/>
      <c r="H23" s="138"/>
      <c r="I23" s="138"/>
    </row>
    <row r="24" spans="2:9" x14ac:dyDescent="0.25">
      <c r="B24" s="138" t="s">
        <v>150</v>
      </c>
      <c r="C24" s="138" t="s">
        <v>151</v>
      </c>
      <c r="D24" s="138"/>
      <c r="E24" s="138"/>
      <c r="F24" s="138"/>
      <c r="G24" s="138"/>
      <c r="H24" s="138"/>
      <c r="I24" s="138"/>
    </row>
    <row r="25" spans="2:9" x14ac:dyDescent="0.25">
      <c r="B25" s="138" t="s">
        <v>152</v>
      </c>
      <c r="C25" s="142" t="s">
        <v>73</v>
      </c>
      <c r="D25" s="138"/>
      <c r="E25" s="138"/>
      <c r="F25" s="138"/>
      <c r="G25" s="138"/>
      <c r="H25" s="138"/>
      <c r="I25" s="138"/>
    </row>
    <row r="26" spans="2:9" x14ac:dyDescent="0.25">
      <c r="B26" s="138"/>
      <c r="C26" s="138"/>
      <c r="D26" s="138"/>
      <c r="E26" s="138"/>
      <c r="F26" s="138"/>
      <c r="G26" s="138"/>
      <c r="H26" s="138"/>
      <c r="I26" s="138"/>
    </row>
    <row r="27" spans="2:9" x14ac:dyDescent="0.25">
      <c r="B27" s="142" t="s">
        <v>21</v>
      </c>
      <c r="C27" s="142" t="s">
        <v>153</v>
      </c>
      <c r="D27" s="138"/>
      <c r="E27" s="138"/>
      <c r="F27" s="138"/>
      <c r="G27" s="138"/>
      <c r="H27" s="138"/>
      <c r="I27" s="138"/>
    </row>
    <row r="28" spans="2:9" x14ac:dyDescent="0.25">
      <c r="B28" s="138" t="s">
        <v>12</v>
      </c>
      <c r="C28" s="138" t="s">
        <v>154</v>
      </c>
      <c r="D28" s="138"/>
      <c r="E28" s="138"/>
      <c r="F28" s="138"/>
      <c r="G28" s="138"/>
      <c r="H28" s="138"/>
      <c r="I28" s="138"/>
    </row>
    <row r="29" spans="2:9" x14ac:dyDescent="0.25">
      <c r="B29" s="138" t="s">
        <v>15</v>
      </c>
      <c r="C29" s="138" t="s">
        <v>155</v>
      </c>
      <c r="D29" s="138"/>
      <c r="E29" s="138"/>
      <c r="F29" s="138"/>
      <c r="G29" s="138"/>
      <c r="H29" s="138"/>
      <c r="I29" s="138"/>
    </row>
    <row r="30" spans="2:9" x14ac:dyDescent="0.25">
      <c r="B30" s="138" t="s">
        <v>18</v>
      </c>
      <c r="C30" s="138" t="s">
        <v>156</v>
      </c>
      <c r="D30" s="138"/>
      <c r="E30" s="138"/>
      <c r="F30" s="138"/>
      <c r="G30" s="138"/>
      <c r="H30" s="138"/>
      <c r="I30" s="138"/>
    </row>
    <row r="31" spans="2:9" x14ac:dyDescent="0.25">
      <c r="B31" s="138" t="s">
        <v>19</v>
      </c>
      <c r="C31" s="138" t="s">
        <v>157</v>
      </c>
      <c r="D31" s="138"/>
      <c r="E31" s="138"/>
      <c r="F31" s="138"/>
      <c r="G31" s="138"/>
      <c r="H31" s="138"/>
      <c r="I31" s="138"/>
    </row>
    <row r="32" spans="2:9" x14ac:dyDescent="0.25">
      <c r="B32" s="138" t="s">
        <v>27</v>
      </c>
      <c r="C32" s="138" t="s">
        <v>158</v>
      </c>
      <c r="D32" s="138"/>
      <c r="E32" s="138"/>
      <c r="F32" s="138"/>
      <c r="G32" s="138"/>
      <c r="H32" s="138"/>
      <c r="I32" s="138"/>
    </row>
    <row r="33" spans="2:9" x14ac:dyDescent="0.25">
      <c r="B33" s="138" t="s">
        <v>130</v>
      </c>
      <c r="C33" s="138" t="s">
        <v>159</v>
      </c>
      <c r="D33" s="138"/>
      <c r="E33" s="138"/>
      <c r="F33" s="138"/>
      <c r="G33" s="138"/>
      <c r="H33" s="138"/>
      <c r="I33" s="138"/>
    </row>
    <row r="34" spans="2:9" x14ac:dyDescent="0.25">
      <c r="B34" s="138" t="s">
        <v>132</v>
      </c>
      <c r="C34" s="138" t="s">
        <v>160</v>
      </c>
      <c r="D34" s="138"/>
      <c r="E34" s="138"/>
      <c r="F34" s="138"/>
      <c r="G34" s="138"/>
      <c r="H34" s="138"/>
      <c r="I34" s="138"/>
    </row>
    <row r="35" spans="2:9" x14ac:dyDescent="0.25">
      <c r="B35" s="138" t="s">
        <v>134</v>
      </c>
      <c r="C35" s="138" t="s">
        <v>161</v>
      </c>
      <c r="D35" s="138"/>
      <c r="E35" s="138"/>
      <c r="F35" s="138"/>
      <c r="G35" s="138"/>
      <c r="H35" s="138"/>
      <c r="I35" s="138"/>
    </row>
    <row r="36" spans="2:9" x14ac:dyDescent="0.25">
      <c r="B36" s="138" t="s">
        <v>136</v>
      </c>
      <c r="C36" s="138" t="s">
        <v>162</v>
      </c>
      <c r="D36" s="138"/>
      <c r="E36" s="138"/>
      <c r="F36" s="138"/>
      <c r="G36" s="138"/>
      <c r="H36" s="138"/>
      <c r="I36" s="138"/>
    </row>
    <row r="37" spans="2:9" x14ac:dyDescent="0.25">
      <c r="B37" s="138" t="s">
        <v>140</v>
      </c>
      <c r="C37" s="138" t="s">
        <v>163</v>
      </c>
      <c r="D37" s="138"/>
      <c r="E37" s="138"/>
      <c r="F37" s="138"/>
      <c r="G37" s="138"/>
      <c r="H37" s="138"/>
      <c r="I37" s="138"/>
    </row>
    <row r="38" spans="2:9" x14ac:dyDescent="0.25">
      <c r="B38" s="138" t="s">
        <v>141</v>
      </c>
      <c r="C38" s="138" t="s">
        <v>164</v>
      </c>
      <c r="D38" s="138"/>
      <c r="E38" s="138"/>
      <c r="F38" s="138"/>
      <c r="G38" s="138"/>
      <c r="H38" s="138"/>
      <c r="I38" s="138"/>
    </row>
    <row r="39" spans="2:9" x14ac:dyDescent="0.25">
      <c r="B39" s="138" t="s">
        <v>142</v>
      </c>
      <c r="C39" s="138" t="s">
        <v>165</v>
      </c>
      <c r="D39" s="138"/>
      <c r="E39" s="138"/>
      <c r="F39" s="138"/>
      <c r="G39" s="138"/>
      <c r="H39" s="138"/>
      <c r="I39" s="138"/>
    </row>
    <row r="40" spans="2:9" x14ac:dyDescent="0.25">
      <c r="B40" s="138" t="s">
        <v>144</v>
      </c>
      <c r="C40" s="142" t="s">
        <v>73</v>
      </c>
      <c r="D40" s="138"/>
      <c r="E40" s="138"/>
      <c r="F40" s="138"/>
      <c r="G40" s="138"/>
      <c r="H40" s="138"/>
      <c r="I40" s="138"/>
    </row>
    <row r="41" spans="2:9" x14ac:dyDescent="0.25">
      <c r="B41" s="138"/>
      <c r="C41" s="138"/>
      <c r="D41" s="138"/>
      <c r="E41" s="138"/>
      <c r="F41" s="138"/>
      <c r="G41" s="138"/>
      <c r="H41" s="138"/>
      <c r="I41" s="138"/>
    </row>
    <row r="42" spans="2:9" x14ac:dyDescent="0.25">
      <c r="B42" s="142" t="s">
        <v>30</v>
      </c>
      <c r="C42" s="142" t="s">
        <v>166</v>
      </c>
      <c r="D42" s="138"/>
      <c r="E42" s="138"/>
      <c r="F42" s="138"/>
      <c r="G42" s="138"/>
      <c r="H42" s="138"/>
      <c r="I42" s="138"/>
    </row>
    <row r="43" spans="2:9" x14ac:dyDescent="0.25">
      <c r="B43" s="138" t="s">
        <v>12</v>
      </c>
      <c r="C43" s="138" t="s">
        <v>167</v>
      </c>
      <c r="D43" s="138"/>
      <c r="E43" s="138"/>
      <c r="F43" s="138"/>
      <c r="G43" s="138"/>
      <c r="H43" s="138"/>
      <c r="I43" s="138"/>
    </row>
    <row r="44" spans="2:9" x14ac:dyDescent="0.25">
      <c r="B44" s="138" t="s">
        <v>15</v>
      </c>
      <c r="C44" s="138" t="s">
        <v>168</v>
      </c>
      <c r="D44" s="138"/>
      <c r="E44" s="138"/>
      <c r="F44" s="138"/>
      <c r="G44" s="138"/>
      <c r="H44" s="138"/>
      <c r="I44" s="138"/>
    </row>
    <row r="45" spans="2:9" x14ac:dyDescent="0.25">
      <c r="B45" s="138" t="s">
        <v>18</v>
      </c>
      <c r="C45" s="142" t="s">
        <v>73</v>
      </c>
      <c r="D45" s="138"/>
      <c r="E45" s="138"/>
      <c r="F45" s="138"/>
      <c r="G45" s="138"/>
      <c r="H45" s="138"/>
      <c r="I45" s="138"/>
    </row>
    <row r="46" spans="2:9" x14ac:dyDescent="0.25">
      <c r="B46" s="138"/>
      <c r="C46" s="138"/>
      <c r="D46" s="138"/>
      <c r="E46" s="138"/>
      <c r="F46" s="138"/>
      <c r="G46" s="138"/>
      <c r="H46" s="138"/>
      <c r="I46" s="138"/>
    </row>
    <row r="47" spans="2:9" x14ac:dyDescent="0.25">
      <c r="B47" s="142" t="s">
        <v>50</v>
      </c>
      <c r="C47" s="142" t="s">
        <v>169</v>
      </c>
      <c r="D47" s="138"/>
      <c r="E47" s="138"/>
      <c r="F47" s="138"/>
      <c r="G47" s="138"/>
      <c r="H47" s="138"/>
      <c r="I47" s="138"/>
    </row>
    <row r="48" spans="2:9" x14ac:dyDescent="0.25">
      <c r="B48" s="138" t="s">
        <v>12</v>
      </c>
      <c r="C48" s="138"/>
      <c r="D48" s="138"/>
      <c r="E48" s="138"/>
      <c r="F48" s="138"/>
      <c r="G48" s="138"/>
      <c r="H48" s="138"/>
      <c r="I48" s="138"/>
    </row>
    <row r="49" spans="2:9" x14ac:dyDescent="0.25">
      <c r="B49" s="138" t="s">
        <v>15</v>
      </c>
      <c r="C49" s="138"/>
      <c r="D49" s="138"/>
      <c r="E49" s="138"/>
      <c r="F49" s="138"/>
      <c r="G49" s="138"/>
      <c r="H49" s="138"/>
      <c r="I49" s="138"/>
    </row>
    <row r="50" spans="2:9" x14ac:dyDescent="0.25">
      <c r="B50" s="138" t="s">
        <v>18</v>
      </c>
      <c r="C50" s="142" t="s">
        <v>73</v>
      </c>
      <c r="D50" s="138"/>
      <c r="E50" s="138"/>
      <c r="F50" s="138"/>
      <c r="G50" s="138"/>
      <c r="H50" s="138"/>
      <c r="I50" s="138"/>
    </row>
    <row r="51" spans="2:9" x14ac:dyDescent="0.25">
      <c r="B51" s="138"/>
      <c r="C51" s="138"/>
      <c r="D51" s="138"/>
      <c r="E51" s="138"/>
      <c r="F51" s="138"/>
      <c r="G51" s="138"/>
      <c r="H51" s="138"/>
      <c r="I51" s="138"/>
    </row>
    <row r="52" spans="2:9" x14ac:dyDescent="0.25">
      <c r="B52" s="142" t="s">
        <v>52</v>
      </c>
      <c r="C52" s="142" t="s">
        <v>170</v>
      </c>
      <c r="D52" s="138"/>
      <c r="E52" s="138"/>
      <c r="F52" s="138"/>
      <c r="G52" s="138"/>
      <c r="H52" s="138"/>
      <c r="I52" s="138"/>
    </row>
    <row r="53" spans="2:9" x14ac:dyDescent="0.25">
      <c r="B53" s="138" t="s">
        <v>12</v>
      </c>
      <c r="C53" s="138" t="s">
        <v>171</v>
      </c>
      <c r="D53" s="138"/>
      <c r="E53" s="138"/>
      <c r="F53" s="138"/>
      <c r="G53" s="138"/>
      <c r="H53" s="138"/>
      <c r="I53" s="138"/>
    </row>
    <row r="54" spans="2:9" x14ac:dyDescent="0.25">
      <c r="B54" s="138" t="s">
        <v>15</v>
      </c>
      <c r="C54" s="138" t="s">
        <v>172</v>
      </c>
      <c r="D54" s="138"/>
      <c r="E54" s="138"/>
      <c r="F54" s="138"/>
      <c r="G54" s="138"/>
      <c r="H54" s="138"/>
      <c r="I54" s="138"/>
    </row>
    <row r="55" spans="2:9" x14ac:dyDescent="0.25">
      <c r="B55" s="138" t="s">
        <v>18</v>
      </c>
      <c r="C55" s="138" t="s">
        <v>173</v>
      </c>
      <c r="D55" s="138"/>
      <c r="E55" s="138"/>
      <c r="F55" s="138"/>
      <c r="G55" s="138"/>
      <c r="H55" s="138"/>
      <c r="I55" s="138"/>
    </row>
    <row r="56" spans="2:9" x14ac:dyDescent="0.25">
      <c r="B56" s="138" t="s">
        <v>19</v>
      </c>
      <c r="C56" s="142" t="s">
        <v>73</v>
      </c>
      <c r="D56" s="138"/>
      <c r="E56" s="138"/>
      <c r="F56" s="138"/>
      <c r="G56" s="138"/>
      <c r="H56" s="138"/>
      <c r="I56" s="138"/>
    </row>
    <row r="57" spans="2:9" x14ac:dyDescent="0.25">
      <c r="B57" s="138"/>
      <c r="C57" s="138"/>
      <c r="D57" s="138"/>
      <c r="E57" s="138"/>
      <c r="F57" s="138"/>
      <c r="G57" s="138"/>
      <c r="H57" s="138"/>
      <c r="I57" s="138"/>
    </row>
    <row r="58" spans="2:9" x14ac:dyDescent="0.25">
      <c r="B58" s="142" t="s">
        <v>54</v>
      </c>
      <c r="C58" s="142" t="s">
        <v>174</v>
      </c>
      <c r="D58" s="138"/>
      <c r="E58" s="138"/>
      <c r="F58" s="138"/>
      <c r="G58" s="138"/>
      <c r="H58" s="138"/>
      <c r="I58" s="138"/>
    </row>
    <row r="59" spans="2:9" x14ac:dyDescent="0.25">
      <c r="B59" s="138" t="s">
        <v>12</v>
      </c>
      <c r="C59" s="138"/>
      <c r="D59" s="138"/>
      <c r="E59" s="138"/>
      <c r="F59" s="138"/>
      <c r="G59" s="138"/>
      <c r="H59" s="138"/>
      <c r="I59" s="138"/>
    </row>
    <row r="60" spans="2:9" x14ac:dyDescent="0.25">
      <c r="B60" s="138" t="s">
        <v>15</v>
      </c>
      <c r="C60" s="138"/>
      <c r="D60" s="138"/>
      <c r="E60" s="138"/>
      <c r="F60" s="138"/>
      <c r="G60" s="138"/>
      <c r="H60" s="138"/>
      <c r="I60" s="138"/>
    </row>
    <row r="61" spans="2:9" x14ac:dyDescent="0.25">
      <c r="B61" s="138" t="s">
        <v>18</v>
      </c>
      <c r="C61" s="142" t="s">
        <v>73</v>
      </c>
      <c r="D61" s="138"/>
      <c r="E61" s="138"/>
      <c r="F61" s="138"/>
      <c r="G61" s="138"/>
      <c r="H61" s="138"/>
      <c r="I61" s="138"/>
    </row>
    <row r="62" spans="2:9" x14ac:dyDescent="0.25">
      <c r="B62" s="138"/>
      <c r="C62" s="138"/>
      <c r="D62" s="138"/>
      <c r="E62" s="138"/>
      <c r="F62" s="138"/>
      <c r="G62" s="138"/>
      <c r="H62" s="138"/>
      <c r="I62" s="138"/>
    </row>
    <row r="63" spans="2:9" x14ac:dyDescent="0.25">
      <c r="B63" s="142" t="s">
        <v>58</v>
      </c>
      <c r="C63" s="142" t="s">
        <v>72</v>
      </c>
      <c r="D63" s="138"/>
      <c r="E63" s="138"/>
      <c r="F63" s="138"/>
      <c r="G63" s="138"/>
      <c r="H63" s="138"/>
      <c r="I63" s="138"/>
    </row>
    <row r="64" spans="2:9" x14ac:dyDescent="0.25">
      <c r="B64" s="138" t="s">
        <v>12</v>
      </c>
      <c r="C64" s="138" t="s">
        <v>175</v>
      </c>
      <c r="D64" s="138"/>
      <c r="E64" s="138"/>
      <c r="F64" s="138"/>
      <c r="G64" s="138"/>
      <c r="H64" s="138"/>
      <c r="I64" s="138"/>
    </row>
    <row r="65" spans="2:9" x14ac:dyDescent="0.25">
      <c r="B65" s="138" t="s">
        <v>15</v>
      </c>
      <c r="C65" s="138"/>
      <c r="D65" s="138"/>
      <c r="E65" s="138"/>
      <c r="F65" s="138"/>
      <c r="G65" s="138"/>
      <c r="H65" s="138"/>
      <c r="I65" s="138"/>
    </row>
    <row r="66" spans="2:9" x14ac:dyDescent="0.25">
      <c r="B66" s="138" t="s">
        <v>18</v>
      </c>
      <c r="C66" s="142" t="s">
        <v>73</v>
      </c>
      <c r="D66" s="138"/>
      <c r="E66" s="138"/>
      <c r="F66" s="138"/>
      <c r="G66" s="138"/>
      <c r="H66" s="138"/>
      <c r="I66" s="138"/>
    </row>
    <row r="67" spans="2:9" x14ac:dyDescent="0.25">
      <c r="B67" s="138"/>
      <c r="C67" s="138"/>
      <c r="D67" s="138"/>
      <c r="E67" s="138"/>
      <c r="F67" s="138"/>
      <c r="G67" s="138"/>
      <c r="H67" s="138"/>
      <c r="I67" s="138"/>
    </row>
    <row r="68" spans="2:9" x14ac:dyDescent="0.25">
      <c r="B68" s="142" t="s">
        <v>61</v>
      </c>
      <c r="C68" s="142" t="s">
        <v>176</v>
      </c>
      <c r="D68" s="138"/>
      <c r="E68" s="138"/>
      <c r="F68" s="138"/>
      <c r="G68" s="138"/>
      <c r="H68" s="138"/>
      <c r="I68" s="138" t="s">
        <v>408</v>
      </c>
    </row>
    <row r="69" spans="2:9" x14ac:dyDescent="0.25">
      <c r="B69" s="142"/>
      <c r="C69" s="142"/>
      <c r="D69" s="138"/>
      <c r="E69" s="138"/>
      <c r="F69" s="138"/>
      <c r="G69" s="138"/>
      <c r="H69" s="138"/>
      <c r="I69" s="138"/>
    </row>
    <row r="70" spans="2:9" ht="30" x14ac:dyDescent="0.25">
      <c r="B70" s="142" t="s">
        <v>63</v>
      </c>
      <c r="C70" s="142" t="s">
        <v>177</v>
      </c>
      <c r="D70" s="138"/>
      <c r="E70" s="138"/>
      <c r="F70" s="138"/>
      <c r="G70" s="138"/>
      <c r="H70" s="138"/>
      <c r="I70" s="138"/>
    </row>
    <row r="71" spans="2:9" x14ac:dyDescent="0.25">
      <c r="B71" s="138" t="s">
        <v>12</v>
      </c>
      <c r="C71" s="138" t="s">
        <v>178</v>
      </c>
      <c r="D71" s="138">
        <f>'T5'!F70</f>
        <v>635.41</v>
      </c>
      <c r="E71" s="138"/>
      <c r="F71" s="138"/>
      <c r="G71" s="285">
        <v>692.51</v>
      </c>
      <c r="H71" s="282">
        <f>G71*10/(D71+D72)</f>
        <v>5.0928091308888206</v>
      </c>
      <c r="I71" s="138"/>
    </row>
    <row r="72" spans="2:9" x14ac:dyDescent="0.25">
      <c r="B72" s="138" t="s">
        <v>15</v>
      </c>
      <c r="C72" s="138" t="s">
        <v>659</v>
      </c>
      <c r="D72" s="138">
        <v>724.37</v>
      </c>
      <c r="E72" s="138"/>
      <c r="F72" s="138"/>
      <c r="G72" s="287"/>
      <c r="H72" s="284"/>
      <c r="I72" s="138"/>
    </row>
    <row r="73" spans="2:9" x14ac:dyDescent="0.25">
      <c r="B73" s="138" t="s">
        <v>18</v>
      </c>
      <c r="C73" s="138" t="s">
        <v>180</v>
      </c>
      <c r="D73" s="138">
        <f>'T5'!F72</f>
        <v>0.496</v>
      </c>
      <c r="E73" s="138"/>
      <c r="F73" s="138"/>
      <c r="G73" s="285">
        <v>0.90900000000000003</v>
      </c>
      <c r="H73" s="282">
        <f>G73*10/(D73+D74)</f>
        <v>5.569852941176471</v>
      </c>
      <c r="I73" s="138"/>
    </row>
    <row r="74" spans="2:9" x14ac:dyDescent="0.25">
      <c r="B74" s="138" t="s">
        <v>19</v>
      </c>
      <c r="C74" s="138" t="s">
        <v>181</v>
      </c>
      <c r="D74" s="138">
        <f>'T5'!F73</f>
        <v>1.1359999999999999</v>
      </c>
      <c r="E74" s="138"/>
      <c r="F74" s="138"/>
      <c r="G74" s="287"/>
      <c r="H74" s="284"/>
      <c r="I74" s="138"/>
    </row>
    <row r="75" spans="2:9" x14ac:dyDescent="0.25">
      <c r="B75" s="138" t="s">
        <v>27</v>
      </c>
      <c r="C75" s="138" t="s">
        <v>182</v>
      </c>
      <c r="D75" s="138">
        <f>'T5'!F74</f>
        <v>671.71</v>
      </c>
      <c r="E75" s="138"/>
      <c r="F75" s="138"/>
      <c r="G75" s="285">
        <v>307.23</v>
      </c>
      <c r="H75" s="282">
        <f>G75*10/(D75+D76)</f>
        <v>4.2740286298568506</v>
      </c>
      <c r="I75" s="138"/>
    </row>
    <row r="76" spans="2:9" x14ac:dyDescent="0.25">
      <c r="B76" s="138" t="s">
        <v>130</v>
      </c>
      <c r="C76" s="138" t="s">
        <v>601</v>
      </c>
      <c r="D76" s="138">
        <f>'T5'!F75</f>
        <v>47.12</v>
      </c>
      <c r="E76" s="138"/>
      <c r="F76" s="138"/>
      <c r="G76" s="287"/>
      <c r="H76" s="284"/>
      <c r="I76" s="138"/>
    </row>
    <row r="77" spans="2:9" x14ac:dyDescent="0.25">
      <c r="B77" s="138"/>
      <c r="C77" s="142" t="s">
        <v>183</v>
      </c>
      <c r="D77" s="138"/>
      <c r="E77" s="138"/>
      <c r="F77" s="138"/>
      <c r="G77" s="138"/>
      <c r="H77" s="138"/>
      <c r="I77" s="138"/>
    </row>
    <row r="78" spans="2:9" x14ac:dyDescent="0.25">
      <c r="B78" s="138"/>
      <c r="C78" s="138" t="s">
        <v>889</v>
      </c>
      <c r="D78" s="97">
        <f>'T5'!F78</f>
        <v>0.33</v>
      </c>
      <c r="E78" s="138"/>
      <c r="F78" s="138"/>
      <c r="G78" s="97">
        <f>D78*Assumption!D10/10</f>
        <v>0.25475999999999999</v>
      </c>
      <c r="H78" s="138"/>
      <c r="I78" s="138"/>
    </row>
    <row r="79" spans="2:9" x14ac:dyDescent="0.25">
      <c r="B79" s="142" t="s">
        <v>65</v>
      </c>
      <c r="C79" s="142" t="s">
        <v>184</v>
      </c>
      <c r="D79" s="138">
        <f>SUM(D71:D78)</f>
        <v>2080.5720000000001</v>
      </c>
      <c r="E79" s="138"/>
      <c r="F79" s="138"/>
      <c r="G79" s="97">
        <f>SUM(G71:G78)</f>
        <v>1000.90376</v>
      </c>
      <c r="H79" s="110">
        <f>G79*10/D79</f>
        <v>4.8107143612429653</v>
      </c>
      <c r="I79" s="138" t="s">
        <v>473</v>
      </c>
    </row>
    <row r="82" spans="2:20" x14ac:dyDescent="0.25">
      <c r="B82" s="264" t="s">
        <v>474</v>
      </c>
      <c r="C82" s="290"/>
      <c r="D82" s="290"/>
      <c r="E82" s="290"/>
      <c r="F82" s="290"/>
      <c r="G82" s="290"/>
    </row>
    <row r="84" spans="2:20" x14ac:dyDescent="0.25">
      <c r="B84" s="291" t="s">
        <v>5</v>
      </c>
      <c r="C84" s="289" t="s">
        <v>6</v>
      </c>
      <c r="D84" s="289" t="s">
        <v>38</v>
      </c>
      <c r="E84" s="289"/>
      <c r="F84" s="293" t="s">
        <v>39</v>
      </c>
      <c r="G84" s="293"/>
      <c r="I84" s="131"/>
      <c r="J84" s="131"/>
      <c r="K84" s="131"/>
      <c r="L84" s="131"/>
      <c r="M84" s="131"/>
      <c r="N84" s="131"/>
      <c r="O84" s="131"/>
      <c r="P84" s="131"/>
      <c r="Q84" s="131"/>
      <c r="R84" s="131"/>
      <c r="S84" s="131"/>
      <c r="T84" s="131"/>
    </row>
    <row r="85" spans="2:20" ht="30" x14ac:dyDescent="0.25">
      <c r="B85" s="292"/>
      <c r="C85" s="289"/>
      <c r="D85" s="142" t="s">
        <v>475</v>
      </c>
      <c r="E85" s="142" t="s">
        <v>228</v>
      </c>
      <c r="F85" s="142" t="s">
        <v>658</v>
      </c>
      <c r="G85" s="142" t="s">
        <v>228</v>
      </c>
    </row>
    <row r="86" spans="2:20" x14ac:dyDescent="0.25">
      <c r="B86" s="138" t="s">
        <v>10</v>
      </c>
      <c r="C86" s="138" t="s">
        <v>200</v>
      </c>
      <c r="D86" s="285"/>
      <c r="E86" s="285">
        <v>9.1999999999999993</v>
      </c>
      <c r="F86" s="282">
        <f>G86*10/('T4'!H20+'T4'!H24)</f>
        <v>4.917127071823205</v>
      </c>
      <c r="G86" s="285">
        <v>6.23</v>
      </c>
    </row>
    <row r="87" spans="2:20" x14ac:dyDescent="0.25">
      <c r="B87" s="138" t="s">
        <v>21</v>
      </c>
      <c r="C87" s="138" t="s">
        <v>201</v>
      </c>
      <c r="D87" s="286"/>
      <c r="E87" s="286"/>
      <c r="F87" s="283"/>
      <c r="G87" s="286"/>
    </row>
    <row r="88" spans="2:20" x14ac:dyDescent="0.25">
      <c r="B88" s="138" t="s">
        <v>30</v>
      </c>
      <c r="C88" s="138" t="s">
        <v>202</v>
      </c>
      <c r="D88" s="286"/>
      <c r="E88" s="286"/>
      <c r="F88" s="283"/>
      <c r="G88" s="286"/>
    </row>
    <row r="89" spans="2:20" x14ac:dyDescent="0.25">
      <c r="B89" s="138"/>
      <c r="C89" s="138" t="s">
        <v>603</v>
      </c>
      <c r="D89" s="286"/>
      <c r="E89" s="286"/>
      <c r="F89" s="283"/>
      <c r="G89" s="286"/>
    </row>
    <row r="90" spans="2:20" x14ac:dyDescent="0.25">
      <c r="B90" s="138" t="s">
        <v>50</v>
      </c>
      <c r="C90" s="138" t="s">
        <v>203</v>
      </c>
      <c r="D90" s="286"/>
      <c r="E90" s="286"/>
      <c r="F90" s="283"/>
      <c r="G90" s="286"/>
    </row>
    <row r="91" spans="2:20" x14ac:dyDescent="0.25">
      <c r="B91" s="138"/>
      <c r="C91" s="138" t="s">
        <v>606</v>
      </c>
      <c r="D91" s="287"/>
      <c r="E91" s="287"/>
      <c r="F91" s="284"/>
      <c r="G91" s="287"/>
    </row>
    <row r="92" spans="2:20" x14ac:dyDescent="0.25">
      <c r="B92" s="138" t="s">
        <v>52</v>
      </c>
      <c r="C92" s="138" t="s">
        <v>204</v>
      </c>
      <c r="D92" s="138"/>
      <c r="E92" s="138"/>
      <c r="F92" s="97">
        <f>1.78*10/29.1</f>
        <v>0.61168384879725091</v>
      </c>
      <c r="G92" s="138">
        <v>1.78</v>
      </c>
    </row>
    <row r="93" spans="2:20" x14ac:dyDescent="0.25">
      <c r="B93" s="142" t="s">
        <v>54</v>
      </c>
      <c r="C93" s="142" t="s">
        <v>73</v>
      </c>
      <c r="D93" s="138"/>
      <c r="E93" s="138"/>
      <c r="F93" s="138"/>
      <c r="G93" s="138">
        <f>SUM(G86:G92)</f>
        <v>8.01</v>
      </c>
    </row>
    <row r="94" spans="2:20" x14ac:dyDescent="0.25">
      <c r="B94" s="132"/>
      <c r="C94" s="132"/>
      <c r="D94" s="141"/>
      <c r="E94" s="141"/>
      <c r="F94" s="141"/>
      <c r="G94" s="141"/>
    </row>
    <row r="95" spans="2:20" x14ac:dyDescent="0.25">
      <c r="B95" s="264" t="s">
        <v>476</v>
      </c>
      <c r="C95" s="290"/>
      <c r="D95" s="290"/>
      <c r="E95" s="290"/>
      <c r="F95" s="290"/>
      <c r="G95" s="290"/>
    </row>
    <row r="96" spans="2:20" x14ac:dyDescent="0.25">
      <c r="I96" s="294"/>
      <c r="J96" s="294"/>
      <c r="K96" s="294"/>
      <c r="L96" s="294"/>
      <c r="M96" s="294"/>
      <c r="N96" s="294"/>
      <c r="O96" s="294"/>
      <c r="P96" s="294"/>
      <c r="Q96" s="294"/>
      <c r="R96" s="294"/>
      <c r="S96" s="294"/>
      <c r="T96" s="294"/>
    </row>
    <row r="97" spans="2:20" x14ac:dyDescent="0.25">
      <c r="B97" s="291" t="s">
        <v>5</v>
      </c>
      <c r="C97" s="289" t="s">
        <v>6</v>
      </c>
      <c r="D97" s="289" t="s">
        <v>38</v>
      </c>
      <c r="E97" s="289"/>
      <c r="F97" s="289" t="s">
        <v>39</v>
      </c>
      <c r="G97" s="289"/>
      <c r="H97" s="289"/>
      <c r="I97" s="131"/>
      <c r="J97" s="131"/>
      <c r="K97" s="131"/>
      <c r="L97" s="131"/>
      <c r="M97" s="131"/>
      <c r="N97" s="131"/>
      <c r="O97" s="131"/>
      <c r="P97" s="131"/>
      <c r="Q97" s="131"/>
      <c r="R97" s="131"/>
      <c r="S97" s="131"/>
      <c r="T97" s="131"/>
    </row>
    <row r="98" spans="2:20" ht="30" x14ac:dyDescent="0.25">
      <c r="B98" s="292"/>
      <c r="C98" s="289"/>
      <c r="D98" s="191" t="s">
        <v>661</v>
      </c>
      <c r="E98" s="142" t="s">
        <v>228</v>
      </c>
      <c r="F98" s="142" t="s">
        <v>662</v>
      </c>
      <c r="G98" s="142" t="s">
        <v>228</v>
      </c>
      <c r="H98" s="142" t="s">
        <v>661</v>
      </c>
    </row>
    <row r="99" spans="2:20" ht="18" customHeight="1" x14ac:dyDescent="0.25">
      <c r="B99" s="138" t="s">
        <v>10</v>
      </c>
      <c r="C99" s="138" t="s">
        <v>200</v>
      </c>
      <c r="D99" s="282">
        <f>E99*10/669.01</f>
        <v>2.8812723277678955</v>
      </c>
      <c r="E99" s="285">
        <v>192.76</v>
      </c>
      <c r="F99" s="97">
        <v>18.93</v>
      </c>
      <c r="G99" s="282">
        <f>155.67</f>
        <v>155.66999999999999</v>
      </c>
      <c r="H99" s="282">
        <f>G99*10/SUM(F99,F101,F100,F104,F105)</f>
        <v>2.3737970138984616</v>
      </c>
      <c r="I99" s="288" t="s">
        <v>660</v>
      </c>
    </row>
    <row r="100" spans="2:20" x14ac:dyDescent="0.25">
      <c r="B100" s="138" t="s">
        <v>21</v>
      </c>
      <c r="C100" s="138" t="s">
        <v>201</v>
      </c>
      <c r="D100" s="283"/>
      <c r="E100" s="286"/>
      <c r="F100" s="97">
        <v>0</v>
      </c>
      <c r="G100" s="283"/>
      <c r="H100" s="283"/>
      <c r="I100" s="288"/>
    </row>
    <row r="101" spans="2:20" x14ac:dyDescent="0.25">
      <c r="B101" s="138" t="s">
        <v>30</v>
      </c>
      <c r="C101" s="138" t="s">
        <v>602</v>
      </c>
      <c r="D101" s="283"/>
      <c r="E101" s="286"/>
      <c r="F101" s="97">
        <f>SUM(F102:F103)</f>
        <v>628.85180000000003</v>
      </c>
      <c r="G101" s="283"/>
      <c r="H101" s="283"/>
    </row>
    <row r="102" spans="2:20" x14ac:dyDescent="0.25">
      <c r="B102" s="138"/>
      <c r="C102" s="138" t="s">
        <v>603</v>
      </c>
      <c r="D102" s="283"/>
      <c r="E102" s="286"/>
      <c r="F102" s="97">
        <v>482.90780000000001</v>
      </c>
      <c r="G102" s="283"/>
      <c r="H102" s="283"/>
    </row>
    <row r="103" spans="2:20" x14ac:dyDescent="0.25">
      <c r="B103" s="138"/>
      <c r="C103" s="138" t="s">
        <v>604</v>
      </c>
      <c r="D103" s="283"/>
      <c r="E103" s="286"/>
      <c r="F103" s="97">
        <v>145.94399999999999</v>
      </c>
      <c r="G103" s="283"/>
      <c r="H103" s="283"/>
    </row>
    <row r="104" spans="2:20" x14ac:dyDescent="0.25">
      <c r="B104" s="138" t="s">
        <v>50</v>
      </c>
      <c r="C104" s="138" t="s">
        <v>203</v>
      </c>
      <c r="D104" s="283"/>
      <c r="E104" s="286"/>
      <c r="F104" s="97">
        <v>0</v>
      </c>
      <c r="G104" s="283"/>
      <c r="H104" s="283"/>
    </row>
    <row r="105" spans="2:20" x14ac:dyDescent="0.25">
      <c r="B105" s="138"/>
      <c r="C105" s="143" t="s">
        <v>663</v>
      </c>
      <c r="D105" s="284"/>
      <c r="E105" s="287"/>
      <c r="F105" s="97">
        <v>8.0030000000000001</v>
      </c>
      <c r="G105" s="284"/>
      <c r="H105" s="284"/>
    </row>
    <row r="106" spans="2:20" x14ac:dyDescent="0.25">
      <c r="B106" s="138" t="s">
        <v>52</v>
      </c>
      <c r="C106" s="138" t="s">
        <v>204</v>
      </c>
      <c r="D106" s="97">
        <f>E106*10/71.7</f>
        <v>4.2873082287308222</v>
      </c>
      <c r="E106" s="138">
        <v>30.74</v>
      </c>
      <c r="F106" s="97"/>
      <c r="G106" s="138"/>
      <c r="H106" s="138"/>
    </row>
    <row r="107" spans="2:20" x14ac:dyDescent="0.25">
      <c r="B107" s="142" t="s">
        <v>54</v>
      </c>
      <c r="C107" s="142" t="s">
        <v>73</v>
      </c>
      <c r="D107" s="138"/>
      <c r="E107" s="138">
        <f>SUM(E104:E106,E99:E101)</f>
        <v>223.5</v>
      </c>
      <c r="F107" s="97">
        <f>SUM(F104:F106,F99:F101)</f>
        <v>655.78480000000002</v>
      </c>
      <c r="G107" s="97">
        <f>SUM(G99:G106)</f>
        <v>155.66999999999999</v>
      </c>
      <c r="H107" s="97">
        <f>H99</f>
        <v>2.3737970138984616</v>
      </c>
    </row>
    <row r="110" spans="2:20" x14ac:dyDescent="0.25">
      <c r="B110" s="264" t="s">
        <v>477</v>
      </c>
      <c r="C110" s="264"/>
      <c r="D110" s="264"/>
      <c r="E110" s="264"/>
    </row>
    <row r="112" spans="2:20" x14ac:dyDescent="0.25">
      <c r="B112" s="142" t="s">
        <v>100</v>
      </c>
      <c r="C112" s="142" t="s">
        <v>6</v>
      </c>
      <c r="D112" s="142" t="s">
        <v>39</v>
      </c>
      <c r="E112" s="142" t="s">
        <v>9</v>
      </c>
    </row>
    <row r="113" spans="2:5" ht="30" x14ac:dyDescent="0.25">
      <c r="B113" s="138" t="s">
        <v>10</v>
      </c>
      <c r="C113" s="138" t="s">
        <v>478</v>
      </c>
      <c r="D113" s="138"/>
      <c r="E113" s="138"/>
    </row>
    <row r="114" spans="2:5" ht="30" x14ac:dyDescent="0.25">
      <c r="B114" s="138" t="s">
        <v>21</v>
      </c>
      <c r="C114" s="138" t="s">
        <v>664</v>
      </c>
      <c r="D114" s="138"/>
      <c r="E114" s="138"/>
    </row>
    <row r="115" spans="2:5" ht="30" x14ac:dyDescent="0.25">
      <c r="B115" s="138" t="s">
        <v>30</v>
      </c>
      <c r="C115" s="138" t="s">
        <v>479</v>
      </c>
      <c r="D115" s="138"/>
      <c r="E115" s="138"/>
    </row>
    <row r="116" spans="2:5" x14ac:dyDescent="0.25">
      <c r="B116" s="138" t="s">
        <v>50</v>
      </c>
      <c r="C116" s="138" t="s">
        <v>480</v>
      </c>
      <c r="D116" s="138"/>
      <c r="E116" s="138"/>
    </row>
    <row r="117" spans="2:5" x14ac:dyDescent="0.25">
      <c r="B117" s="138"/>
      <c r="C117" s="138"/>
      <c r="D117" s="138"/>
      <c r="E117" s="138"/>
    </row>
    <row r="118" spans="2:5" ht="30" x14ac:dyDescent="0.25">
      <c r="B118" s="138" t="s">
        <v>52</v>
      </c>
      <c r="C118" s="138" t="s">
        <v>481</v>
      </c>
      <c r="D118" s="138"/>
      <c r="E118" s="138" t="s">
        <v>890</v>
      </c>
    </row>
  </sheetData>
  <customSheetViews>
    <customSheetView guid="{9CE83D47-1940-43F4-9510-4E48915AF617}" topLeftCell="A81">
      <selection activeCell="A81" sqref="A81"/>
      <pageMargins left="0.7" right="0.7" top="0.75" bottom="0.75" header="0.3" footer="0.3"/>
    </customSheetView>
  </customSheetViews>
  <mergeCells count="30">
    <mergeCell ref="B110:E110"/>
    <mergeCell ref="B2:I2"/>
    <mergeCell ref="B4:B5"/>
    <mergeCell ref="C4:C5"/>
    <mergeCell ref="B82:G82"/>
    <mergeCell ref="B84:B85"/>
    <mergeCell ref="C84:C85"/>
    <mergeCell ref="D84:E84"/>
    <mergeCell ref="F84:G84"/>
    <mergeCell ref="I96:T96"/>
    <mergeCell ref="B95:G95"/>
    <mergeCell ref="B97:B98"/>
    <mergeCell ref="C97:C98"/>
    <mergeCell ref="D97:E97"/>
    <mergeCell ref="G86:G91"/>
    <mergeCell ref="F86:F91"/>
    <mergeCell ref="E86:E91"/>
    <mergeCell ref="D86:D91"/>
    <mergeCell ref="G71:G72"/>
    <mergeCell ref="H71:H72"/>
    <mergeCell ref="G73:G74"/>
    <mergeCell ref="H73:H74"/>
    <mergeCell ref="G75:G76"/>
    <mergeCell ref="H75:H76"/>
    <mergeCell ref="D99:D105"/>
    <mergeCell ref="E99:E105"/>
    <mergeCell ref="H99:H105"/>
    <mergeCell ref="I99:I100"/>
    <mergeCell ref="F97:H97"/>
    <mergeCell ref="G99:G105"/>
  </mergeCells>
  <pageMargins left="0.7" right="0.7" top="0.75" bottom="0.75" header="0.3" footer="0.3"/>
  <pageSetup paperSize="9" scale="34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30"/>
  <sheetViews>
    <sheetView topLeftCell="B18" workbookViewId="0">
      <selection activeCell="L30" sqref="L30"/>
    </sheetView>
  </sheetViews>
  <sheetFormatPr defaultRowHeight="15" x14ac:dyDescent="0.25"/>
  <cols>
    <col min="1" max="2" width="9.140625" style="190"/>
    <col min="3" max="3" width="23.7109375" style="190" customWidth="1"/>
    <col min="4" max="4" width="25.5703125" style="190" customWidth="1"/>
    <col min="5" max="5" width="23.85546875" style="190" customWidth="1"/>
    <col min="6" max="6" width="14.85546875" style="190" customWidth="1"/>
    <col min="7" max="7" width="16.85546875" style="190" customWidth="1"/>
    <col min="8" max="8" width="11.5703125" style="190" bestFit="1" customWidth="1"/>
    <col min="9" max="16384" width="9.140625" style="190"/>
  </cols>
  <sheetData>
    <row r="2" spans="2:7" x14ac:dyDescent="0.25">
      <c r="B2" s="239" t="s">
        <v>1017</v>
      </c>
      <c r="C2" s="239"/>
      <c r="D2" s="239"/>
      <c r="E2" s="239"/>
      <c r="F2" s="239"/>
      <c r="G2" s="239"/>
    </row>
    <row r="4" spans="2:7" ht="45" x14ac:dyDescent="0.25">
      <c r="B4" s="189" t="s">
        <v>100</v>
      </c>
      <c r="C4" s="189" t="s">
        <v>484</v>
      </c>
      <c r="D4" s="189" t="s">
        <v>485</v>
      </c>
      <c r="E4" s="189" t="s">
        <v>486</v>
      </c>
      <c r="F4" s="189" t="s">
        <v>487</v>
      </c>
      <c r="G4" s="189" t="s">
        <v>488</v>
      </c>
    </row>
    <row r="5" spans="2:7" x14ac:dyDescent="0.25">
      <c r="B5" s="98" t="s">
        <v>10</v>
      </c>
      <c r="C5" s="98" t="s">
        <v>124</v>
      </c>
      <c r="D5" s="98">
        <v>2</v>
      </c>
      <c r="E5" s="36">
        <f>G5*2%</f>
        <v>14.132938775510205</v>
      </c>
      <c r="F5" s="98">
        <v>692.51400000000001</v>
      </c>
      <c r="G5" s="36">
        <f>F5/0.98</f>
        <v>706.64693877551019</v>
      </c>
    </row>
    <row r="6" spans="2:7" x14ac:dyDescent="0.25">
      <c r="B6" s="98" t="s">
        <v>21</v>
      </c>
      <c r="C6" s="98" t="s">
        <v>153</v>
      </c>
      <c r="D6" s="98"/>
      <c r="E6" s="36"/>
      <c r="F6" s="98"/>
      <c r="G6" s="36"/>
    </row>
    <row r="7" spans="2:7" x14ac:dyDescent="0.25">
      <c r="B7" s="98" t="s">
        <v>30</v>
      </c>
      <c r="C7" s="98" t="s">
        <v>169</v>
      </c>
      <c r="D7" s="98"/>
      <c r="E7" s="36"/>
      <c r="F7" s="98"/>
      <c r="G7" s="36"/>
    </row>
    <row r="8" spans="2:7" x14ac:dyDescent="0.25">
      <c r="B8" s="98" t="s">
        <v>50</v>
      </c>
      <c r="C8" s="98" t="s">
        <v>174</v>
      </c>
      <c r="D8" s="98"/>
      <c r="E8" s="36"/>
      <c r="F8" s="98"/>
      <c r="G8" s="36"/>
    </row>
    <row r="9" spans="2:7" x14ac:dyDescent="0.25">
      <c r="B9" s="98" t="s">
        <v>52</v>
      </c>
      <c r="C9" s="98" t="s">
        <v>489</v>
      </c>
      <c r="D9" s="98">
        <v>2</v>
      </c>
      <c r="E9" s="36">
        <f>G9*2%</f>
        <v>0.49693877551020416</v>
      </c>
      <c r="F9" s="98">
        <v>24.35</v>
      </c>
      <c r="G9" s="36">
        <f>F9/0.98</f>
        <v>24.846938775510207</v>
      </c>
    </row>
    <row r="10" spans="2:7" x14ac:dyDescent="0.25">
      <c r="B10" s="98" t="s">
        <v>54</v>
      </c>
      <c r="C10" s="98" t="s">
        <v>490</v>
      </c>
      <c r="D10" s="98">
        <v>2</v>
      </c>
      <c r="E10" s="36">
        <f>G10*2%</f>
        <v>1.0075510204081632</v>
      </c>
      <c r="F10" s="98">
        <v>49.37</v>
      </c>
      <c r="G10" s="36">
        <f>F10/0.98</f>
        <v>50.377551020408163</v>
      </c>
    </row>
    <row r="11" spans="2:7" x14ac:dyDescent="0.25">
      <c r="B11" s="98"/>
      <c r="C11" s="98"/>
      <c r="D11" s="98"/>
      <c r="E11" s="98"/>
      <c r="F11" s="98"/>
      <c r="G11" s="98"/>
    </row>
    <row r="12" spans="2:7" x14ac:dyDescent="0.25">
      <c r="B12" s="98"/>
      <c r="C12" s="98"/>
      <c r="D12" s="98"/>
      <c r="E12" s="98"/>
      <c r="F12" s="98"/>
      <c r="G12" s="98"/>
    </row>
    <row r="15" spans="2:7" x14ac:dyDescent="0.25">
      <c r="B15" s="239" t="s">
        <v>909</v>
      </c>
      <c r="C15" s="239"/>
      <c r="D15" s="239"/>
      <c r="E15" s="239"/>
    </row>
    <row r="17" spans="2:8" ht="30" x14ac:dyDescent="0.25">
      <c r="B17" s="189" t="s">
        <v>100</v>
      </c>
      <c r="C17" s="189" t="s">
        <v>6</v>
      </c>
      <c r="D17" s="189" t="s">
        <v>254</v>
      </c>
      <c r="E17" s="189" t="s">
        <v>453</v>
      </c>
    </row>
    <row r="18" spans="2:8" ht="30" x14ac:dyDescent="0.25">
      <c r="B18" s="189" t="s">
        <v>10</v>
      </c>
      <c r="C18" s="189" t="s">
        <v>492</v>
      </c>
      <c r="D18" s="189" t="s">
        <v>816</v>
      </c>
      <c r="E18" s="189" t="s">
        <v>815</v>
      </c>
    </row>
    <row r="19" spans="2:8" ht="34.5" customHeight="1" x14ac:dyDescent="0.25">
      <c r="B19" s="98" t="s">
        <v>12</v>
      </c>
      <c r="C19" s="98" t="s">
        <v>985</v>
      </c>
      <c r="D19" s="36">
        <f>'T6'!G79+'T6'!G93</f>
        <v>1008.91376</v>
      </c>
      <c r="E19" s="36">
        <f>959.77*(0.98)</f>
        <v>940.57459999999992</v>
      </c>
      <c r="F19" s="295" t="s">
        <v>986</v>
      </c>
      <c r="G19" s="281"/>
      <c r="H19" s="281"/>
    </row>
    <row r="20" spans="2:8" ht="30" x14ac:dyDescent="0.25">
      <c r="B20" s="98" t="s">
        <v>15</v>
      </c>
      <c r="C20" s="98" t="s">
        <v>457</v>
      </c>
      <c r="D20" s="36">
        <f>'T6'!G107</f>
        <v>155.66999999999999</v>
      </c>
      <c r="E20" s="98">
        <f>263.05*(0.98)</f>
        <v>257.78899999999999</v>
      </c>
    </row>
    <row r="21" spans="2:8" x14ac:dyDescent="0.25">
      <c r="B21" s="98" t="s">
        <v>18</v>
      </c>
      <c r="C21" s="98" t="s">
        <v>232</v>
      </c>
      <c r="D21" s="36">
        <f>D19-D20</f>
        <v>853.24376000000007</v>
      </c>
      <c r="E21" s="36">
        <f>E19-E20</f>
        <v>682.78559999999993</v>
      </c>
    </row>
    <row r="22" spans="2:8" x14ac:dyDescent="0.25">
      <c r="B22" s="189" t="s">
        <v>21</v>
      </c>
      <c r="C22" s="189" t="s">
        <v>493</v>
      </c>
      <c r="D22" s="98"/>
      <c r="E22" s="98"/>
    </row>
    <row r="23" spans="2:8" ht="30" x14ac:dyDescent="0.25">
      <c r="B23" s="98" t="s">
        <v>12</v>
      </c>
      <c r="C23" s="98" t="s">
        <v>494</v>
      </c>
      <c r="D23" s="98">
        <v>24.35</v>
      </c>
      <c r="E23" s="36">
        <f>30.71*(0.98)</f>
        <v>30.095800000000001</v>
      </c>
    </row>
    <row r="24" spans="2:8" ht="30" x14ac:dyDescent="0.25">
      <c r="B24" s="98" t="s">
        <v>15</v>
      </c>
      <c r="C24" s="98" t="s">
        <v>495</v>
      </c>
      <c r="D24" s="98">
        <v>49.37</v>
      </c>
      <c r="E24" s="36">
        <f>18.35*(0.98)</f>
        <v>17.983000000000001</v>
      </c>
    </row>
    <row r="25" spans="2:8" ht="30" x14ac:dyDescent="0.25">
      <c r="B25" s="98" t="s">
        <v>18</v>
      </c>
      <c r="C25" s="98" t="s">
        <v>496</v>
      </c>
      <c r="D25" s="98">
        <f>D24+D23</f>
        <v>73.72</v>
      </c>
      <c r="E25" s="36">
        <f>E24+E23</f>
        <v>48.078800000000001</v>
      </c>
    </row>
    <row r="26" spans="2:8" x14ac:dyDescent="0.25">
      <c r="B26" s="189" t="s">
        <v>30</v>
      </c>
      <c r="C26" s="189" t="s">
        <v>497</v>
      </c>
      <c r="D26" s="189"/>
      <c r="E26" s="189"/>
    </row>
    <row r="27" spans="2:8" ht="30" x14ac:dyDescent="0.25">
      <c r="B27" s="98" t="s">
        <v>12</v>
      </c>
      <c r="C27" s="98" t="s">
        <v>665</v>
      </c>
      <c r="D27" s="36">
        <f>(D21/0.98)*2%</f>
        <v>17.413137959183675</v>
      </c>
      <c r="E27" s="36">
        <f>(E21/0.98)*2%</f>
        <v>13.934399999999998</v>
      </c>
    </row>
    <row r="28" spans="2:8" ht="30" x14ac:dyDescent="0.25">
      <c r="B28" s="98" t="s">
        <v>15</v>
      </c>
      <c r="C28" s="98" t="s">
        <v>666</v>
      </c>
      <c r="D28" s="36">
        <f>(D25/0.98)*2%</f>
        <v>1.5044897959183674</v>
      </c>
      <c r="E28" s="36">
        <f>(E25/0.98)*2%</f>
        <v>0.98120000000000007</v>
      </c>
    </row>
    <row r="29" spans="2:8" x14ac:dyDescent="0.25">
      <c r="B29" s="98" t="s">
        <v>18</v>
      </c>
      <c r="C29" s="98" t="s">
        <v>499</v>
      </c>
      <c r="D29" s="36">
        <f>D28+D27</f>
        <v>18.917627755102043</v>
      </c>
      <c r="E29" s="36">
        <f>E28+E27</f>
        <v>14.915599999999998</v>
      </c>
    </row>
    <row r="30" spans="2:8" ht="30" x14ac:dyDescent="0.25">
      <c r="B30" s="189" t="s">
        <v>50</v>
      </c>
      <c r="C30" s="189" t="s">
        <v>498</v>
      </c>
      <c r="D30" s="40">
        <f>D21+D25</f>
        <v>926.96376000000009</v>
      </c>
      <c r="E30" s="40">
        <f>E21+E25</f>
        <v>730.86439999999993</v>
      </c>
    </row>
  </sheetData>
  <customSheetViews>
    <customSheetView guid="{9CE83D47-1940-43F4-9510-4E48915AF617}" topLeftCell="A18">
      <selection activeCell="F28" sqref="F28"/>
      <pageMargins left="0.7" right="0.7" top="0.75" bottom="0.75" header="0.3" footer="0.3"/>
    </customSheetView>
  </customSheetViews>
  <mergeCells count="3">
    <mergeCell ref="B2:G2"/>
    <mergeCell ref="B15:E15"/>
    <mergeCell ref="F19:H19"/>
  </mergeCells>
  <pageMargins left="0.7" right="0.7" top="0.75" bottom="0.75" header="0.3" footer="0.3"/>
  <pageSetup paperSize="9" scale="64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3"/>
  <sheetViews>
    <sheetView topLeftCell="B9" workbookViewId="0">
      <selection activeCell="C24" sqref="C24"/>
    </sheetView>
  </sheetViews>
  <sheetFormatPr defaultRowHeight="15" x14ac:dyDescent="0.25"/>
  <cols>
    <col min="1" max="2" width="9.140625" style="2"/>
    <col min="3" max="3" width="24.140625" style="2" customWidth="1"/>
    <col min="4" max="4" width="24.28515625" style="2" customWidth="1"/>
    <col min="5" max="5" width="14.140625" style="2" customWidth="1"/>
    <col min="6" max="16384" width="9.140625" style="2"/>
  </cols>
  <sheetData>
    <row r="2" spans="2:7" x14ac:dyDescent="0.25">
      <c r="B2" s="239" t="s">
        <v>501</v>
      </c>
      <c r="C2" s="239"/>
      <c r="D2" s="239"/>
      <c r="E2" s="239"/>
      <c r="F2" s="239"/>
    </row>
    <row r="4" spans="2:7" ht="30" x14ac:dyDescent="0.25">
      <c r="B4" s="26" t="s">
        <v>100</v>
      </c>
      <c r="C4" s="26" t="s">
        <v>6</v>
      </c>
      <c r="D4" s="26" t="s">
        <v>415</v>
      </c>
      <c r="E4" s="26" t="s">
        <v>254</v>
      </c>
      <c r="F4" s="26" t="s">
        <v>9</v>
      </c>
    </row>
    <row r="5" spans="2:7" x14ac:dyDescent="0.25">
      <c r="B5" s="25" t="s">
        <v>10</v>
      </c>
      <c r="C5" s="45" t="s">
        <v>256</v>
      </c>
      <c r="D5" s="45"/>
      <c r="E5" s="45"/>
      <c r="F5" s="45"/>
      <c r="G5" s="47"/>
    </row>
    <row r="6" spans="2:7" x14ac:dyDescent="0.25">
      <c r="B6" s="4" t="s">
        <v>21</v>
      </c>
      <c r="C6" s="45" t="s">
        <v>257</v>
      </c>
      <c r="D6" s="45"/>
      <c r="E6" s="45"/>
      <c r="F6" s="45"/>
      <c r="G6" s="47"/>
    </row>
    <row r="7" spans="2:7" x14ac:dyDescent="0.25">
      <c r="B7" s="25" t="s">
        <v>30</v>
      </c>
      <c r="C7" s="45" t="s">
        <v>258</v>
      </c>
      <c r="D7" s="45"/>
      <c r="E7" s="45"/>
      <c r="F7" s="45"/>
      <c r="G7" s="47"/>
    </row>
    <row r="8" spans="2:7" ht="45" x14ac:dyDescent="0.25">
      <c r="B8" s="25" t="s">
        <v>50</v>
      </c>
      <c r="C8" s="46" t="s">
        <v>265</v>
      </c>
      <c r="D8" s="45">
        <v>151.13999999999999</v>
      </c>
      <c r="E8" s="45">
        <v>151.13999999999999</v>
      </c>
      <c r="F8" s="45" t="s">
        <v>506</v>
      </c>
      <c r="G8" s="47" t="s">
        <v>669</v>
      </c>
    </row>
    <row r="9" spans="2:7" x14ac:dyDescent="0.25">
      <c r="B9" s="25" t="s">
        <v>52</v>
      </c>
      <c r="C9" s="45" t="s">
        <v>267</v>
      </c>
      <c r="D9" s="50">
        <v>0.02</v>
      </c>
      <c r="E9" s="50">
        <v>0.02</v>
      </c>
      <c r="F9" s="45"/>
      <c r="G9" s="47"/>
    </row>
    <row r="10" spans="2:7" ht="30" x14ac:dyDescent="0.25">
      <c r="B10" s="4" t="s">
        <v>54</v>
      </c>
      <c r="C10" s="45" t="s">
        <v>504</v>
      </c>
      <c r="D10" s="36">
        <f>D8*D9</f>
        <v>3.0227999999999997</v>
      </c>
      <c r="E10" s="36">
        <f>E8*E9</f>
        <v>3.0227999999999997</v>
      </c>
      <c r="F10" s="45" t="s">
        <v>507</v>
      </c>
      <c r="G10" s="47"/>
    </row>
    <row r="11" spans="2:7" x14ac:dyDescent="0.25">
      <c r="B11" s="25" t="s">
        <v>58</v>
      </c>
      <c r="C11" s="15" t="s">
        <v>505</v>
      </c>
      <c r="D11" s="45"/>
      <c r="E11" s="36"/>
      <c r="F11" s="45"/>
      <c r="G11" s="47"/>
    </row>
    <row r="12" spans="2:7" x14ac:dyDescent="0.25">
      <c r="B12" s="25" t="s">
        <v>61</v>
      </c>
      <c r="C12" s="46" t="s">
        <v>266</v>
      </c>
      <c r="D12" s="36">
        <f>D8-D10+D11</f>
        <v>148.1172</v>
      </c>
      <c r="E12" s="36">
        <f>E8-E10+E11</f>
        <v>148.1172</v>
      </c>
      <c r="F12" s="45" t="s">
        <v>508</v>
      </c>
      <c r="G12" s="47"/>
    </row>
    <row r="15" spans="2:7" x14ac:dyDescent="0.25">
      <c r="B15" s="239" t="s">
        <v>509</v>
      </c>
      <c r="C15" s="239"/>
      <c r="D15" s="239"/>
      <c r="E15" s="239"/>
    </row>
    <row r="17" spans="2:5" x14ac:dyDescent="0.25">
      <c r="B17" s="46" t="s">
        <v>100</v>
      </c>
      <c r="C17" s="46" t="s">
        <v>6</v>
      </c>
      <c r="D17" s="46" t="s">
        <v>254</v>
      </c>
      <c r="E17" s="46" t="s">
        <v>9</v>
      </c>
    </row>
    <row r="18" spans="2:5" ht="75" x14ac:dyDescent="0.25">
      <c r="B18" s="45">
        <v>1</v>
      </c>
      <c r="C18" s="45" t="s">
        <v>670</v>
      </c>
      <c r="D18" s="45">
        <v>143.54</v>
      </c>
      <c r="E18" s="45" t="s">
        <v>817</v>
      </c>
    </row>
    <row r="20" spans="2:5" x14ac:dyDescent="0.25">
      <c r="C20" s="61" t="s">
        <v>1016</v>
      </c>
      <c r="D20" s="62">
        <f>D18+D12</f>
        <v>291.65719999999999</v>
      </c>
    </row>
    <row r="23" spans="2:5" x14ac:dyDescent="0.25">
      <c r="C23" s="3"/>
    </row>
  </sheetData>
  <customSheetViews>
    <customSheetView guid="{9CE83D47-1940-43F4-9510-4E48915AF617}" topLeftCell="A4">
      <selection activeCell="C25" sqref="C25"/>
      <pageMargins left="0.7" right="0.7" top="0.75" bottom="0.75" header="0.3" footer="0.3"/>
    </customSheetView>
  </customSheetViews>
  <mergeCells count="2">
    <mergeCell ref="B2:F2"/>
    <mergeCell ref="B15:E15"/>
  </mergeCells>
  <pageMargins left="0.7" right="0.7" top="0.75" bottom="0.75" header="0.3" footer="0.3"/>
  <pageSetup paperSize="9" scale="88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5"/>
  <sheetViews>
    <sheetView topLeftCell="B20" workbookViewId="0">
      <selection activeCell="D41" sqref="D41"/>
    </sheetView>
  </sheetViews>
  <sheetFormatPr defaultRowHeight="15" x14ac:dyDescent="0.25"/>
  <cols>
    <col min="1" max="2" width="9.140625" style="140"/>
    <col min="3" max="3" width="28" style="140" customWidth="1"/>
    <col min="4" max="4" width="23.42578125" style="140" customWidth="1"/>
    <col min="5" max="5" width="16.140625" style="140" customWidth="1"/>
    <col min="6" max="6" width="9.140625" style="140"/>
    <col min="7" max="7" width="19.5703125" style="140" customWidth="1"/>
    <col min="8" max="16384" width="9.140625" style="140"/>
  </cols>
  <sheetData>
    <row r="2" spans="2:5" x14ac:dyDescent="0.25">
      <c r="B2" s="239" t="s">
        <v>511</v>
      </c>
      <c r="C2" s="239"/>
      <c r="D2" s="239"/>
      <c r="E2" s="239"/>
    </row>
    <row r="4" spans="2:5" x14ac:dyDescent="0.25">
      <c r="B4" s="139" t="s">
        <v>5</v>
      </c>
      <c r="C4" s="14" t="s">
        <v>6</v>
      </c>
      <c r="D4" s="14" t="s">
        <v>254</v>
      </c>
      <c r="E4" s="14" t="s">
        <v>9</v>
      </c>
    </row>
    <row r="5" spans="2:5" x14ac:dyDescent="0.25">
      <c r="B5" s="98" t="s">
        <v>10</v>
      </c>
      <c r="C5" s="13" t="s">
        <v>377</v>
      </c>
      <c r="D5" s="13">
        <v>1.18</v>
      </c>
      <c r="E5" s="13"/>
    </row>
    <row r="6" spans="2:5" x14ac:dyDescent="0.25">
      <c r="B6" s="98" t="s">
        <v>21</v>
      </c>
      <c r="C6" s="13" t="s">
        <v>378</v>
      </c>
      <c r="D6" s="13"/>
      <c r="E6" s="13"/>
    </row>
    <row r="7" spans="2:5" x14ac:dyDescent="0.25">
      <c r="B7" s="98" t="s">
        <v>30</v>
      </c>
      <c r="C7" s="13" t="s">
        <v>379</v>
      </c>
      <c r="D7" s="13">
        <v>0.60699999999999998</v>
      </c>
      <c r="E7" s="13"/>
    </row>
    <row r="8" spans="2:5" x14ac:dyDescent="0.25">
      <c r="B8" s="98" t="s">
        <v>50</v>
      </c>
      <c r="C8" s="13" t="s">
        <v>380</v>
      </c>
      <c r="D8" s="13">
        <v>4.21</v>
      </c>
      <c r="E8" s="13"/>
    </row>
    <row r="9" spans="2:5" ht="30" x14ac:dyDescent="0.25">
      <c r="B9" s="98" t="s">
        <v>52</v>
      </c>
      <c r="C9" s="13" t="s">
        <v>381</v>
      </c>
      <c r="D9" s="13">
        <v>0</v>
      </c>
      <c r="E9" s="13"/>
    </row>
    <row r="10" spans="2:5" x14ac:dyDescent="0.25">
      <c r="B10" s="98" t="s">
        <v>54</v>
      </c>
      <c r="C10" s="13" t="s">
        <v>382</v>
      </c>
      <c r="D10" s="13">
        <v>3.5999999999999999E-3</v>
      </c>
      <c r="E10" s="13"/>
    </row>
    <row r="11" spans="2:5" x14ac:dyDescent="0.25">
      <c r="B11" s="98" t="s">
        <v>58</v>
      </c>
      <c r="C11" s="13" t="s">
        <v>383</v>
      </c>
      <c r="D11" s="13">
        <f>4.83/10^7</f>
        <v>4.8299999999999997E-7</v>
      </c>
      <c r="E11" s="13"/>
    </row>
    <row r="12" spans="2:5" ht="30" x14ac:dyDescent="0.25">
      <c r="B12" s="98" t="s">
        <v>61</v>
      </c>
      <c r="C12" s="13" t="s">
        <v>384</v>
      </c>
      <c r="D12" s="13"/>
      <c r="E12" s="13"/>
    </row>
    <row r="13" spans="2:5" x14ac:dyDescent="0.25">
      <c r="B13" s="98" t="s">
        <v>63</v>
      </c>
      <c r="C13" s="13" t="s">
        <v>385</v>
      </c>
      <c r="D13" s="13"/>
      <c r="E13" s="13"/>
    </row>
    <row r="14" spans="2:5" x14ac:dyDescent="0.25">
      <c r="B14" s="98" t="s">
        <v>65</v>
      </c>
      <c r="C14" s="13" t="s">
        <v>386</v>
      </c>
      <c r="D14" s="13">
        <v>4.4999999999999998E-2</v>
      </c>
      <c r="E14" s="13"/>
    </row>
    <row r="15" spans="2:5" x14ac:dyDescent="0.25">
      <c r="B15" s="98" t="s">
        <v>67</v>
      </c>
      <c r="C15" s="13" t="s">
        <v>387</v>
      </c>
      <c r="D15" s="13"/>
      <c r="E15" s="13"/>
    </row>
    <row r="16" spans="2:5" ht="45" x14ac:dyDescent="0.25">
      <c r="B16" s="98" t="s">
        <v>69</v>
      </c>
      <c r="C16" s="13" t="s">
        <v>388</v>
      </c>
      <c r="D16" s="13">
        <v>0.34300000000000003</v>
      </c>
      <c r="E16" s="13" t="s">
        <v>814</v>
      </c>
    </row>
    <row r="17" spans="2:8" ht="30" x14ac:dyDescent="0.25">
      <c r="B17" s="98" t="s">
        <v>71</v>
      </c>
      <c r="C17" s="13" t="s">
        <v>389</v>
      </c>
      <c r="D17" s="13">
        <v>0.5</v>
      </c>
      <c r="E17" s="13"/>
    </row>
    <row r="18" spans="2:8" x14ac:dyDescent="0.25">
      <c r="B18" s="98" t="s">
        <v>241</v>
      </c>
      <c r="C18" s="14" t="s">
        <v>73</v>
      </c>
      <c r="D18" s="112">
        <f>SUM(D5:D17)</f>
        <v>6.8886004829999994</v>
      </c>
      <c r="E18" s="14"/>
    </row>
    <row r="19" spans="2:8" ht="30" x14ac:dyDescent="0.25">
      <c r="C19" s="140" t="s">
        <v>667</v>
      </c>
    </row>
    <row r="20" spans="2:8" x14ac:dyDescent="0.25">
      <c r="B20" s="239" t="s">
        <v>514</v>
      </c>
      <c r="C20" s="239"/>
      <c r="D20" s="239"/>
      <c r="E20" s="239"/>
      <c r="F20" s="239"/>
      <c r="G20" s="239"/>
      <c r="H20" s="239"/>
    </row>
    <row r="22" spans="2:8" ht="30" x14ac:dyDescent="0.25">
      <c r="B22" s="139" t="s">
        <v>100</v>
      </c>
      <c r="C22" s="139" t="s">
        <v>6</v>
      </c>
      <c r="D22" s="139" t="s">
        <v>515</v>
      </c>
      <c r="E22" s="139" t="s">
        <v>516</v>
      </c>
      <c r="F22" s="139" t="s">
        <v>517</v>
      </c>
      <c r="G22" s="139" t="s">
        <v>518</v>
      </c>
      <c r="H22" s="139" t="s">
        <v>9</v>
      </c>
    </row>
    <row r="23" spans="2:8" x14ac:dyDescent="0.25">
      <c r="B23" s="98"/>
      <c r="C23" s="98"/>
      <c r="D23" s="98"/>
      <c r="E23" s="98"/>
      <c r="F23" s="98"/>
      <c r="G23" s="98"/>
      <c r="H23" s="98"/>
    </row>
    <row r="24" spans="2:8" x14ac:dyDescent="0.25">
      <c r="B24" s="98"/>
      <c r="C24" s="98"/>
      <c r="D24" s="98"/>
      <c r="E24" s="98"/>
      <c r="F24" s="98"/>
      <c r="G24" s="98"/>
      <c r="H24" s="98"/>
    </row>
    <row r="25" spans="2:8" x14ac:dyDescent="0.25">
      <c r="B25" s="98"/>
      <c r="C25" s="98"/>
      <c r="D25" s="98"/>
      <c r="E25" s="98"/>
      <c r="F25" s="98"/>
      <c r="G25" s="98"/>
      <c r="H25" s="98"/>
    </row>
  </sheetData>
  <customSheetViews>
    <customSheetView guid="{9CE83D47-1940-43F4-9510-4E48915AF617}" topLeftCell="A7">
      <selection activeCell="B20" sqref="B20:H20"/>
      <pageMargins left="0.7" right="0.7" top="0.75" bottom="0.75" header="0.3" footer="0.3"/>
    </customSheetView>
  </customSheetViews>
  <mergeCells count="2">
    <mergeCell ref="B2:E2"/>
    <mergeCell ref="B20:H20"/>
  </mergeCells>
  <pageMargins left="0.7" right="0.7" top="0.75" bottom="0.75" header="0.3" footer="0.3"/>
  <pageSetup paperSize="9" scale="70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H75"/>
  <sheetViews>
    <sheetView topLeftCell="B1" workbookViewId="0">
      <selection activeCell="E1" sqref="E1"/>
    </sheetView>
  </sheetViews>
  <sheetFormatPr defaultRowHeight="15" x14ac:dyDescent="0.25"/>
  <cols>
    <col min="1" max="2" width="9.140625" style="136"/>
    <col min="3" max="3" width="33.42578125" style="136" customWidth="1"/>
    <col min="4" max="4" width="15.85546875" style="136" customWidth="1"/>
    <col min="5" max="5" width="18" style="136" customWidth="1"/>
    <col min="6" max="6" width="10" style="136" customWidth="1"/>
    <col min="7" max="7" width="11.5703125" style="136" bestFit="1" customWidth="1"/>
    <col min="8" max="8" width="10.28515625" style="136" customWidth="1"/>
    <col min="9" max="16384" width="9.140625" style="136"/>
  </cols>
  <sheetData>
    <row r="2" spans="2:8" ht="60" customHeight="1" x14ac:dyDescent="0.25">
      <c r="B2" s="296" t="s">
        <v>520</v>
      </c>
      <c r="C2" s="296"/>
      <c r="D2" s="296"/>
      <c r="E2" s="296"/>
    </row>
    <row r="4" spans="2:8" x14ac:dyDescent="0.25">
      <c r="B4" s="239" t="s">
        <v>522</v>
      </c>
      <c r="C4" s="239"/>
      <c r="D4" s="239"/>
      <c r="E4" s="239"/>
      <c r="G4" s="19"/>
    </row>
    <row r="5" spans="2:8" x14ac:dyDescent="0.25">
      <c r="G5" s="19"/>
    </row>
    <row r="6" spans="2:8" ht="30" x14ac:dyDescent="0.25">
      <c r="B6" s="135" t="s">
        <v>5</v>
      </c>
      <c r="C6" s="135" t="s">
        <v>6</v>
      </c>
      <c r="D6" s="135" t="s">
        <v>39</v>
      </c>
      <c r="E6" s="135" t="s">
        <v>9</v>
      </c>
      <c r="F6" s="23" t="s">
        <v>8</v>
      </c>
    </row>
    <row r="7" spans="2:8" ht="30" x14ac:dyDescent="0.25">
      <c r="B7" s="98" t="s">
        <v>10</v>
      </c>
      <c r="C7" s="98" t="s">
        <v>521</v>
      </c>
      <c r="D7" s="121">
        <v>1086.94</v>
      </c>
      <c r="E7" s="145" t="s">
        <v>668</v>
      </c>
      <c r="F7" s="64">
        <f>D10</f>
        <v>1096.501</v>
      </c>
    </row>
    <row r="8" spans="2:8" ht="60" x14ac:dyDescent="0.25">
      <c r="B8" s="98" t="s">
        <v>21</v>
      </c>
      <c r="C8" s="98" t="s">
        <v>304</v>
      </c>
      <c r="D8" s="144">
        <f>1.854+4.097+3.61</f>
        <v>9.5609999999999999</v>
      </c>
      <c r="E8" s="146" t="s">
        <v>941</v>
      </c>
      <c r="F8" s="98">
        <f>Capex!E8</f>
        <v>14.56</v>
      </c>
    </row>
    <row r="9" spans="2:8" x14ac:dyDescent="0.25">
      <c r="B9" s="98" t="s">
        <v>30</v>
      </c>
      <c r="C9" s="98" t="s">
        <v>523</v>
      </c>
      <c r="D9" s="64"/>
      <c r="E9" s="98"/>
      <c r="F9" s="98"/>
    </row>
    <row r="10" spans="2:8" x14ac:dyDescent="0.25">
      <c r="B10" s="98" t="s">
        <v>50</v>
      </c>
      <c r="C10" s="98" t="s">
        <v>524</v>
      </c>
      <c r="D10" s="64">
        <f>D7+D8-D9</f>
        <v>1096.501</v>
      </c>
      <c r="E10" s="98" t="s">
        <v>500</v>
      </c>
      <c r="F10" s="36">
        <f>F7+F8-F9</f>
        <v>1111.0609999999999</v>
      </c>
    </row>
    <row r="11" spans="2:8" x14ac:dyDescent="0.25">
      <c r="B11" s="98" t="s">
        <v>52</v>
      </c>
      <c r="C11" s="98" t="s">
        <v>525</v>
      </c>
      <c r="D11" s="64">
        <f>(D7+D10)/2</f>
        <v>1091.7204999999999</v>
      </c>
      <c r="E11" s="98" t="s">
        <v>526</v>
      </c>
      <c r="F11" s="36">
        <f>(F7+F10)/2</f>
        <v>1103.7809999999999</v>
      </c>
    </row>
    <row r="14" spans="2:8" x14ac:dyDescent="0.25">
      <c r="B14" s="239" t="s">
        <v>527</v>
      </c>
      <c r="C14" s="239"/>
      <c r="D14" s="239"/>
      <c r="E14" s="239"/>
      <c r="G14" s="34"/>
      <c r="H14" s="34"/>
    </row>
    <row r="16" spans="2:8" ht="30" x14ac:dyDescent="0.25">
      <c r="B16" s="135" t="s">
        <v>100</v>
      </c>
      <c r="C16" s="135" t="s">
        <v>6</v>
      </c>
      <c r="D16" s="187" t="s">
        <v>39</v>
      </c>
      <c r="E16" s="135" t="s">
        <v>9</v>
      </c>
      <c r="F16" s="23" t="s">
        <v>8</v>
      </c>
      <c r="G16" s="187" t="s">
        <v>726</v>
      </c>
    </row>
    <row r="17" spans="2:7" x14ac:dyDescent="0.25">
      <c r="B17" s="98" t="s">
        <v>10</v>
      </c>
      <c r="C17" s="98" t="s">
        <v>274</v>
      </c>
      <c r="D17" s="36">
        <f>D8</f>
        <v>9.5609999999999999</v>
      </c>
      <c r="E17" s="98"/>
      <c r="F17" s="98">
        <f>F8</f>
        <v>14.56</v>
      </c>
      <c r="G17" s="98"/>
    </row>
    <row r="18" spans="2:7" ht="30" x14ac:dyDescent="0.25">
      <c r="B18" s="98" t="s">
        <v>21</v>
      </c>
      <c r="C18" s="98" t="s">
        <v>284</v>
      </c>
      <c r="D18" s="36">
        <v>8.34</v>
      </c>
      <c r="E18" s="98" t="s">
        <v>818</v>
      </c>
      <c r="F18" s="98">
        <v>0</v>
      </c>
      <c r="G18" s="98">
        <v>0</v>
      </c>
    </row>
    <row r="19" spans="2:7" x14ac:dyDescent="0.25">
      <c r="B19" s="98" t="s">
        <v>30</v>
      </c>
      <c r="C19" s="98" t="s">
        <v>528</v>
      </c>
      <c r="D19" s="36">
        <f>D17-D18</f>
        <v>1.2210000000000001</v>
      </c>
      <c r="E19" s="98" t="s">
        <v>529</v>
      </c>
      <c r="F19" s="98">
        <f>F17-F18</f>
        <v>14.56</v>
      </c>
      <c r="G19" s="98"/>
    </row>
    <row r="20" spans="2:7" x14ac:dyDescent="0.25">
      <c r="B20" s="98" t="s">
        <v>50</v>
      </c>
      <c r="C20" s="98" t="s">
        <v>341</v>
      </c>
      <c r="D20" s="36">
        <f>D19*0.3</f>
        <v>0.36630000000000001</v>
      </c>
      <c r="E20" s="98" t="s">
        <v>530</v>
      </c>
      <c r="F20" s="36">
        <f>F19*0.3</f>
        <v>4.3680000000000003</v>
      </c>
      <c r="G20" s="98"/>
    </row>
    <row r="21" spans="2:7" x14ac:dyDescent="0.25">
      <c r="B21" s="98" t="s">
        <v>52</v>
      </c>
      <c r="C21" s="98" t="s">
        <v>308</v>
      </c>
      <c r="D21" s="36">
        <f>D19*0.7</f>
        <v>0.85470000000000002</v>
      </c>
      <c r="E21" s="98" t="s">
        <v>531</v>
      </c>
      <c r="F21" s="36">
        <f>F19*0.7</f>
        <v>10.192</v>
      </c>
      <c r="G21" s="98"/>
    </row>
    <row r="24" spans="2:7" x14ac:dyDescent="0.25">
      <c r="B24" s="239" t="s">
        <v>532</v>
      </c>
      <c r="C24" s="239"/>
      <c r="D24" s="239"/>
      <c r="G24" s="19"/>
    </row>
    <row r="25" spans="2:7" x14ac:dyDescent="0.25">
      <c r="G25" s="19"/>
    </row>
    <row r="26" spans="2:7" x14ac:dyDescent="0.25">
      <c r="B26" s="135" t="s">
        <v>5</v>
      </c>
      <c r="C26" s="135" t="s">
        <v>6</v>
      </c>
      <c r="D26" s="187" t="s">
        <v>39</v>
      </c>
      <c r="E26" s="23" t="s">
        <v>8</v>
      </c>
    </row>
    <row r="27" spans="2:7" x14ac:dyDescent="0.25">
      <c r="B27" s="98" t="s">
        <v>10</v>
      </c>
      <c r="C27" s="98" t="s">
        <v>275</v>
      </c>
      <c r="D27" s="15">
        <v>2.63</v>
      </c>
      <c r="E27" s="36">
        <f>D29</f>
        <v>10.969999999999999</v>
      </c>
    </row>
    <row r="28" spans="2:7" x14ac:dyDescent="0.25">
      <c r="B28" s="98" t="s">
        <v>21</v>
      </c>
      <c r="C28" s="98" t="s">
        <v>276</v>
      </c>
      <c r="D28" s="36">
        <f>D18</f>
        <v>8.34</v>
      </c>
      <c r="E28" s="98">
        <f>F18</f>
        <v>0</v>
      </c>
    </row>
    <row r="29" spans="2:7" x14ac:dyDescent="0.25">
      <c r="B29" s="98" t="s">
        <v>30</v>
      </c>
      <c r="C29" s="98" t="s">
        <v>277</v>
      </c>
      <c r="D29" s="36">
        <f>D27+D28</f>
        <v>10.969999999999999</v>
      </c>
      <c r="E29" s="36">
        <f>E27+E28</f>
        <v>10.969999999999999</v>
      </c>
    </row>
    <row r="30" spans="2:7" x14ac:dyDescent="0.25">
      <c r="B30" s="98" t="s">
        <v>50</v>
      </c>
      <c r="C30" s="98" t="s">
        <v>278</v>
      </c>
      <c r="D30" s="36">
        <f>D29/2</f>
        <v>5.4849999999999994</v>
      </c>
      <c r="E30" s="98">
        <f>(E27+E29)/2</f>
        <v>10.969999999999999</v>
      </c>
    </row>
    <row r="33" spans="2:7" x14ac:dyDescent="0.25">
      <c r="B33" s="239" t="s">
        <v>533</v>
      </c>
      <c r="C33" s="239"/>
      <c r="D33" s="239"/>
      <c r="G33" s="19"/>
    </row>
    <row r="34" spans="2:7" x14ac:dyDescent="0.25">
      <c r="G34" s="6"/>
    </row>
    <row r="35" spans="2:7" x14ac:dyDescent="0.25">
      <c r="B35" s="135" t="s">
        <v>100</v>
      </c>
      <c r="C35" s="135" t="s">
        <v>6</v>
      </c>
      <c r="D35" s="187" t="s">
        <v>39</v>
      </c>
      <c r="E35" s="23" t="s">
        <v>8</v>
      </c>
      <c r="G35" s="6"/>
    </row>
    <row r="36" spans="2:7" x14ac:dyDescent="0.25">
      <c r="B36" s="98" t="s">
        <v>10</v>
      </c>
      <c r="C36" s="98" t="s">
        <v>279</v>
      </c>
      <c r="D36" s="98"/>
      <c r="E36" s="98">
        <v>0</v>
      </c>
    </row>
    <row r="37" spans="2:7" x14ac:dyDescent="0.25">
      <c r="B37" s="98" t="s">
        <v>21</v>
      </c>
      <c r="C37" s="98" t="s">
        <v>276</v>
      </c>
      <c r="D37" s="98"/>
      <c r="E37" s="98">
        <v>0</v>
      </c>
    </row>
    <row r="38" spans="2:7" x14ac:dyDescent="0.25">
      <c r="B38" s="98" t="s">
        <v>30</v>
      </c>
      <c r="C38" s="98" t="s">
        <v>280</v>
      </c>
      <c r="D38" s="98"/>
      <c r="E38" s="98">
        <v>0</v>
      </c>
    </row>
    <row r="39" spans="2:7" x14ac:dyDescent="0.25">
      <c r="B39" s="98" t="s">
        <v>50</v>
      </c>
      <c r="C39" s="98" t="s">
        <v>281</v>
      </c>
      <c r="D39" s="98"/>
      <c r="E39" s="98">
        <v>0</v>
      </c>
    </row>
    <row r="42" spans="2:7" x14ac:dyDescent="0.25">
      <c r="B42" s="239" t="s">
        <v>536</v>
      </c>
      <c r="C42" s="239"/>
      <c r="D42" s="239"/>
      <c r="E42" s="239"/>
      <c r="G42" s="19"/>
    </row>
    <row r="43" spans="2:7" x14ac:dyDescent="0.25">
      <c r="G43" s="19"/>
    </row>
    <row r="44" spans="2:7" ht="30" x14ac:dyDescent="0.25">
      <c r="B44" s="135" t="s">
        <v>100</v>
      </c>
      <c r="C44" s="135" t="s">
        <v>6</v>
      </c>
      <c r="D44" s="187" t="s">
        <v>39</v>
      </c>
      <c r="E44" s="135" t="s">
        <v>9</v>
      </c>
      <c r="F44" s="23" t="s">
        <v>8</v>
      </c>
    </row>
    <row r="45" spans="2:7" ht="30" x14ac:dyDescent="0.25">
      <c r="B45" s="98" t="s">
        <v>10</v>
      </c>
      <c r="C45" s="98" t="s">
        <v>537</v>
      </c>
      <c r="D45" s="98">
        <f>D7</f>
        <v>1086.94</v>
      </c>
      <c r="E45" s="98"/>
      <c r="F45" s="36">
        <f>F7</f>
        <v>1096.501</v>
      </c>
    </row>
    <row r="46" spans="2:7" x14ac:dyDescent="0.25">
      <c r="B46" s="98" t="s">
        <v>21</v>
      </c>
      <c r="C46" s="98" t="s">
        <v>538</v>
      </c>
      <c r="D46" s="36">
        <f>D10</f>
        <v>1096.501</v>
      </c>
      <c r="E46" s="98"/>
      <c r="F46" s="36">
        <f>F10</f>
        <v>1111.0609999999999</v>
      </c>
    </row>
    <row r="47" spans="2:7" x14ac:dyDescent="0.25">
      <c r="B47" s="98" t="s">
        <v>30</v>
      </c>
      <c r="C47" s="98" t="s">
        <v>539</v>
      </c>
      <c r="D47" s="36">
        <f>(D45+D46)/2</f>
        <v>1091.7204999999999</v>
      </c>
      <c r="E47" s="98" t="s">
        <v>542</v>
      </c>
      <c r="F47" s="36">
        <f>(F45+F46)/2</f>
        <v>1103.7809999999999</v>
      </c>
    </row>
    <row r="48" spans="2:7" ht="30" x14ac:dyDescent="0.25">
      <c r="B48" s="98" t="s">
        <v>50</v>
      </c>
      <c r="C48" s="98" t="s">
        <v>540</v>
      </c>
      <c r="D48" s="65">
        <f>D49*D47</f>
        <v>39.301937999999993</v>
      </c>
      <c r="E48" s="98"/>
      <c r="F48" s="36">
        <f>F47*F49</f>
        <v>39.736115999999996</v>
      </c>
    </row>
    <row r="49" spans="2:7" x14ac:dyDescent="0.25">
      <c r="B49" s="98" t="s">
        <v>52</v>
      </c>
      <c r="C49" s="98" t="s">
        <v>541</v>
      </c>
      <c r="D49" s="66">
        <v>3.5999999999999997E-2</v>
      </c>
      <c r="E49" s="98" t="s">
        <v>543</v>
      </c>
      <c r="F49" s="35">
        <v>3.5999999999999997E-2</v>
      </c>
    </row>
    <row r="52" spans="2:7" x14ac:dyDescent="0.25">
      <c r="B52" s="239" t="s">
        <v>544</v>
      </c>
      <c r="C52" s="239"/>
      <c r="D52" s="239"/>
      <c r="E52" s="239"/>
      <c r="G52" s="19"/>
    </row>
    <row r="53" spans="2:7" x14ac:dyDescent="0.25">
      <c r="G53" s="19"/>
    </row>
    <row r="54" spans="2:7" ht="30" x14ac:dyDescent="0.25">
      <c r="B54" s="135" t="s">
        <v>100</v>
      </c>
      <c r="C54" s="135" t="s">
        <v>6</v>
      </c>
      <c r="D54" s="187" t="s">
        <v>39</v>
      </c>
      <c r="E54" s="135" t="s">
        <v>9</v>
      </c>
      <c r="F54" s="208" t="s">
        <v>8</v>
      </c>
      <c r="G54" s="6"/>
    </row>
    <row r="55" spans="2:7" x14ac:dyDescent="0.25">
      <c r="B55" s="98" t="s">
        <v>10</v>
      </c>
      <c r="C55" s="98" t="s">
        <v>525</v>
      </c>
      <c r="D55" s="36">
        <f>D47</f>
        <v>1091.7204999999999</v>
      </c>
      <c r="E55" s="98"/>
      <c r="F55" s="36">
        <f>F11</f>
        <v>1103.7809999999999</v>
      </c>
    </row>
    <row r="56" spans="2:7" x14ac:dyDescent="0.25">
      <c r="B56" s="98" t="s">
        <v>21</v>
      </c>
      <c r="C56" s="98" t="s">
        <v>545</v>
      </c>
      <c r="D56" s="36">
        <f>D30</f>
        <v>5.4849999999999994</v>
      </c>
      <c r="E56" s="98"/>
      <c r="F56" s="98">
        <f>E30</f>
        <v>10.969999999999999</v>
      </c>
    </row>
    <row r="57" spans="2:7" ht="30" x14ac:dyDescent="0.25">
      <c r="B57" s="98" t="s">
        <v>30</v>
      </c>
      <c r="C57" s="98" t="s">
        <v>546</v>
      </c>
      <c r="D57" s="36">
        <f>D55-D56</f>
        <v>1086.2355</v>
      </c>
      <c r="E57" s="98" t="s">
        <v>529</v>
      </c>
      <c r="F57" s="36">
        <f>F55-F56</f>
        <v>1092.8109999999999</v>
      </c>
    </row>
    <row r="58" spans="2:7" x14ac:dyDescent="0.25">
      <c r="B58" s="98" t="s">
        <v>50</v>
      </c>
      <c r="C58" s="98" t="s">
        <v>547</v>
      </c>
      <c r="D58" s="35">
        <v>3.5999999999999997E-2</v>
      </c>
      <c r="E58" s="98"/>
      <c r="F58" s="35">
        <f>F49</f>
        <v>3.5999999999999997E-2</v>
      </c>
    </row>
    <row r="59" spans="2:7" x14ac:dyDescent="0.25">
      <c r="B59" s="98" t="s">
        <v>52</v>
      </c>
      <c r="C59" s="98" t="s">
        <v>290</v>
      </c>
      <c r="D59" s="36">
        <f>D57*D58</f>
        <v>39.104478</v>
      </c>
      <c r="E59" s="98" t="s">
        <v>548</v>
      </c>
      <c r="F59" s="36">
        <f>F57*F58</f>
        <v>39.341195999999997</v>
      </c>
    </row>
    <row r="62" spans="2:7" x14ac:dyDescent="0.25">
      <c r="B62" s="239" t="s">
        <v>549</v>
      </c>
      <c r="C62" s="239"/>
      <c r="D62" s="239"/>
      <c r="E62" s="239"/>
      <c r="F62" s="19"/>
    </row>
    <row r="63" spans="2:7" x14ac:dyDescent="0.25">
      <c r="F63" s="196"/>
    </row>
    <row r="64" spans="2:7" ht="30" x14ac:dyDescent="0.25">
      <c r="B64" s="135" t="s">
        <v>100</v>
      </c>
      <c r="C64" s="135" t="s">
        <v>6</v>
      </c>
      <c r="D64" s="187" t="s">
        <v>39</v>
      </c>
      <c r="E64" s="135" t="s">
        <v>9</v>
      </c>
      <c r="F64" s="195" t="s">
        <v>8</v>
      </c>
    </row>
    <row r="65" spans="2:6" ht="30" x14ac:dyDescent="0.25">
      <c r="B65" s="98" t="s">
        <v>10</v>
      </c>
      <c r="C65" s="98" t="s">
        <v>550</v>
      </c>
      <c r="D65" s="98">
        <f>399.77</f>
        <v>399.77</v>
      </c>
      <c r="E65" s="98"/>
      <c r="F65" s="36">
        <f>D68</f>
        <v>438.87447799999995</v>
      </c>
    </row>
    <row r="66" spans="2:6" x14ac:dyDescent="0.25">
      <c r="B66" s="98" t="s">
        <v>21</v>
      </c>
      <c r="C66" s="98" t="s">
        <v>551</v>
      </c>
      <c r="D66" s="36">
        <f>D59</f>
        <v>39.104478</v>
      </c>
      <c r="E66" s="98"/>
      <c r="F66" s="36">
        <f>F59</f>
        <v>39.341195999999997</v>
      </c>
    </row>
    <row r="67" spans="2:6" x14ac:dyDescent="0.25">
      <c r="B67" s="98" t="s">
        <v>30</v>
      </c>
      <c r="C67" s="98" t="s">
        <v>552</v>
      </c>
      <c r="D67" s="36"/>
      <c r="E67" s="98"/>
      <c r="F67" s="98"/>
    </row>
    <row r="68" spans="2:6" ht="30" x14ac:dyDescent="0.25">
      <c r="B68" s="98" t="s">
        <v>50</v>
      </c>
      <c r="C68" s="98" t="s">
        <v>553</v>
      </c>
      <c r="D68" s="36">
        <f>D65+D66-D67</f>
        <v>438.87447799999995</v>
      </c>
      <c r="E68" s="98" t="s">
        <v>500</v>
      </c>
      <c r="F68" s="36">
        <f>F65+F66-F67</f>
        <v>478.21567399999992</v>
      </c>
    </row>
    <row r="71" spans="2:6" x14ac:dyDescent="0.25">
      <c r="B71" s="239" t="s">
        <v>554</v>
      </c>
      <c r="C71" s="239"/>
      <c r="D71" s="239"/>
      <c r="E71" s="239"/>
      <c r="F71" s="19"/>
    </row>
    <row r="72" spans="2:6" x14ac:dyDescent="0.25">
      <c r="F72" s="196"/>
    </row>
    <row r="73" spans="2:6" ht="30" x14ac:dyDescent="0.25">
      <c r="B73" s="135" t="s">
        <v>100</v>
      </c>
      <c r="C73" s="135" t="s">
        <v>6</v>
      </c>
      <c r="D73" s="187" t="s">
        <v>39</v>
      </c>
      <c r="E73" s="135" t="s">
        <v>9</v>
      </c>
      <c r="F73" s="195" t="s">
        <v>8</v>
      </c>
    </row>
    <row r="74" spans="2:6" x14ac:dyDescent="0.25">
      <c r="B74" s="98" t="s">
        <v>10</v>
      </c>
      <c r="C74" s="98" t="s">
        <v>555</v>
      </c>
      <c r="D74" s="36">
        <f>D59</f>
        <v>39.104478</v>
      </c>
      <c r="E74" s="98"/>
      <c r="F74" s="36">
        <f>F59</f>
        <v>39.341195999999997</v>
      </c>
    </row>
    <row r="75" spans="2:6" ht="30" x14ac:dyDescent="0.25">
      <c r="B75" s="98" t="s">
        <v>21</v>
      </c>
      <c r="C75" s="98" t="s">
        <v>556</v>
      </c>
      <c r="D75" s="98"/>
      <c r="E75" s="98"/>
      <c r="F75" s="98"/>
    </row>
  </sheetData>
  <customSheetViews>
    <customSheetView guid="{9CE83D47-1940-43F4-9510-4E48915AF617}" topLeftCell="A57">
      <selection activeCell="G74" sqref="G74"/>
      <pageMargins left="0.7" right="0.7" top="0.75" bottom="0.75" header="0.3" footer="0.3"/>
    </customSheetView>
  </customSheetViews>
  <mergeCells count="9">
    <mergeCell ref="B52:E52"/>
    <mergeCell ref="B62:E62"/>
    <mergeCell ref="B71:E71"/>
    <mergeCell ref="B4:E4"/>
    <mergeCell ref="B2:E2"/>
    <mergeCell ref="B14:E14"/>
    <mergeCell ref="B24:D24"/>
    <mergeCell ref="B33:D33"/>
    <mergeCell ref="B42:E42"/>
  </mergeCells>
  <pageMargins left="0.7" right="0.7" top="0.75" bottom="0.75" header="0.3" footer="0.3"/>
  <pageSetup paperSize="9" scale="53" orientation="portrait" r:id="rId1"/>
  <legacy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2"/>
  <sheetViews>
    <sheetView workbookViewId="0"/>
  </sheetViews>
  <sheetFormatPr defaultRowHeight="15" x14ac:dyDescent="0.25"/>
  <cols>
    <col min="1" max="2" width="9.140625" style="2"/>
    <col min="3" max="3" width="30.7109375" style="2" customWidth="1"/>
    <col min="4" max="4" width="16.42578125" style="2" customWidth="1"/>
    <col min="5" max="5" width="18.85546875" style="2" customWidth="1"/>
    <col min="6" max="16384" width="9.140625" style="2"/>
  </cols>
  <sheetData>
    <row r="2" spans="2:7" x14ac:dyDescent="0.25">
      <c r="B2" s="239" t="s">
        <v>557</v>
      </c>
      <c r="C2" s="239"/>
      <c r="D2" s="239"/>
      <c r="E2" s="239"/>
      <c r="G2" s="34"/>
    </row>
    <row r="4" spans="2:7" x14ac:dyDescent="0.25">
      <c r="B4" s="26" t="s">
        <v>100</v>
      </c>
      <c r="C4" s="26" t="s">
        <v>6</v>
      </c>
      <c r="D4" s="26" t="s">
        <v>254</v>
      </c>
      <c r="E4" s="26" t="s">
        <v>9</v>
      </c>
    </row>
    <row r="5" spans="2:7" x14ac:dyDescent="0.25">
      <c r="B5" s="25">
        <v>1</v>
      </c>
      <c r="C5" s="25">
        <v>2</v>
      </c>
      <c r="D5" s="25">
        <v>3</v>
      </c>
      <c r="E5" s="25">
        <v>4</v>
      </c>
    </row>
    <row r="6" spans="2:7" ht="30" x14ac:dyDescent="0.25">
      <c r="B6" s="25" t="s">
        <v>10</v>
      </c>
      <c r="C6" s="25" t="s">
        <v>560</v>
      </c>
      <c r="D6" s="36">
        <f>'T3'!D5</f>
        <v>935.51900000000001</v>
      </c>
      <c r="E6" s="25"/>
    </row>
    <row r="7" spans="2:7" ht="45" x14ac:dyDescent="0.25">
      <c r="B7" s="25" t="s">
        <v>21</v>
      </c>
      <c r="C7" s="25" t="s">
        <v>561</v>
      </c>
      <c r="D7" s="36">
        <f>(D6/12)*2</f>
        <v>155.91983333333334</v>
      </c>
      <c r="E7" s="25" t="s">
        <v>320</v>
      </c>
    </row>
    <row r="8" spans="2:7" ht="30" x14ac:dyDescent="0.25">
      <c r="B8" s="25" t="s">
        <v>30</v>
      </c>
      <c r="C8" s="15" t="s">
        <v>562</v>
      </c>
      <c r="D8" s="62">
        <f>'T6'!$G$93+'T6'!$G$79+'T7'!$D$25-'T6'!G107</f>
        <v>926.96375999999998</v>
      </c>
      <c r="E8" s="15"/>
    </row>
    <row r="9" spans="2:7" ht="45" x14ac:dyDescent="0.25">
      <c r="B9" s="25" t="s">
        <v>50</v>
      </c>
      <c r="C9" s="25" t="s">
        <v>312</v>
      </c>
      <c r="D9" s="36">
        <f>D8/12</f>
        <v>77.246979999999994</v>
      </c>
      <c r="E9" s="25" t="s">
        <v>319</v>
      </c>
    </row>
    <row r="10" spans="2:7" x14ac:dyDescent="0.25">
      <c r="B10" s="25" t="s">
        <v>52</v>
      </c>
      <c r="C10" s="25" t="s">
        <v>73</v>
      </c>
      <c r="D10" s="36">
        <f>D7-D9</f>
        <v>78.67285333333335</v>
      </c>
      <c r="E10" s="25" t="s">
        <v>564</v>
      </c>
    </row>
    <row r="11" spans="2:7" x14ac:dyDescent="0.25">
      <c r="B11" s="25" t="s">
        <v>54</v>
      </c>
      <c r="C11" s="25" t="s">
        <v>315</v>
      </c>
      <c r="D11" s="36">
        <v>101.59</v>
      </c>
      <c r="E11" s="25"/>
    </row>
    <row r="12" spans="2:7" ht="30" x14ac:dyDescent="0.25">
      <c r="B12" s="25" t="s">
        <v>58</v>
      </c>
      <c r="C12" s="25" t="s">
        <v>563</v>
      </c>
      <c r="D12" s="36">
        <f>D10-D11</f>
        <v>-22.917146666666653</v>
      </c>
      <c r="E12" s="25" t="s">
        <v>565</v>
      </c>
    </row>
  </sheetData>
  <customSheetViews>
    <customSheetView guid="{9CE83D47-1940-43F4-9510-4E48915AF617}">
      <selection activeCell="B4" sqref="B4:C4"/>
      <pageMargins left="0.7" right="0.7" top="0.75" bottom="0.75" header="0.3" footer="0.3"/>
    </customSheetView>
  </customSheetViews>
  <mergeCells count="1">
    <mergeCell ref="B2:E2"/>
  </mergeCells>
  <pageMargins left="0.7" right="0.7" top="0.75" bottom="0.75" header="0.3" footer="0.3"/>
  <pageSetup paperSize="9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H64"/>
  <sheetViews>
    <sheetView topLeftCell="B38" workbookViewId="0">
      <selection activeCell="B54" sqref="B54"/>
    </sheetView>
  </sheetViews>
  <sheetFormatPr defaultRowHeight="15" x14ac:dyDescent="0.25"/>
  <cols>
    <col min="1" max="2" width="9.140625" style="2"/>
    <col min="3" max="3" width="36.42578125" style="2" customWidth="1"/>
    <col min="4" max="4" width="14.7109375" style="2" customWidth="1"/>
    <col min="5" max="5" width="21.85546875" style="2" customWidth="1"/>
    <col min="6" max="6" width="12" style="2" customWidth="1"/>
    <col min="7" max="7" width="11.5703125" style="2" bestFit="1" customWidth="1"/>
    <col min="8" max="8" width="11.42578125" style="2" customWidth="1"/>
    <col min="9" max="9" width="11.5703125" style="2" bestFit="1" customWidth="1"/>
    <col min="10" max="16384" width="9.140625" style="2"/>
  </cols>
  <sheetData>
    <row r="2" spans="2:6" x14ac:dyDescent="0.25">
      <c r="B2" s="239" t="s">
        <v>566</v>
      </c>
      <c r="C2" s="239"/>
      <c r="D2" s="239"/>
      <c r="E2" s="239"/>
      <c r="F2" s="239"/>
    </row>
    <row r="4" spans="2:6" x14ac:dyDescent="0.25">
      <c r="B4" s="26" t="s">
        <v>100</v>
      </c>
      <c r="C4" s="26" t="s">
        <v>6</v>
      </c>
      <c r="D4" s="26" t="s">
        <v>341</v>
      </c>
      <c r="E4" s="26" t="s">
        <v>308</v>
      </c>
      <c r="F4" s="26" t="s">
        <v>9</v>
      </c>
    </row>
    <row r="5" spans="2:6" x14ac:dyDescent="0.25">
      <c r="B5" s="25" t="s">
        <v>10</v>
      </c>
      <c r="C5" s="25" t="s">
        <v>275</v>
      </c>
      <c r="D5" s="65">
        <f>30%*'T10'!D7</f>
        <v>326.08199999999999</v>
      </c>
      <c r="E5" s="25"/>
      <c r="F5" s="25"/>
    </row>
    <row r="6" spans="2:6" ht="30" x14ac:dyDescent="0.25">
      <c r="B6" s="25" t="s">
        <v>21</v>
      </c>
      <c r="C6" s="25" t="s">
        <v>574</v>
      </c>
      <c r="D6" s="36">
        <f>0.3*'T10'!D8</f>
        <v>2.8683000000000001</v>
      </c>
      <c r="E6" s="25"/>
      <c r="F6" s="25"/>
    </row>
    <row r="7" spans="2:6" x14ac:dyDescent="0.25">
      <c r="B7" s="25" t="s">
        <v>30</v>
      </c>
      <c r="C7" s="25" t="s">
        <v>569</v>
      </c>
      <c r="D7" s="36"/>
      <c r="E7" s="25"/>
      <c r="F7" s="25"/>
    </row>
    <row r="8" spans="2:6" ht="30" x14ac:dyDescent="0.25">
      <c r="B8" s="25" t="s">
        <v>50</v>
      </c>
      <c r="C8" s="25" t="s">
        <v>570</v>
      </c>
      <c r="D8" s="36">
        <f>'T11'!D12</f>
        <v>-22.917146666666653</v>
      </c>
      <c r="E8" s="25"/>
      <c r="F8" s="25"/>
    </row>
    <row r="9" spans="2:6" x14ac:dyDescent="0.25">
      <c r="B9" s="25" t="s">
        <v>52</v>
      </c>
      <c r="C9" s="25" t="s">
        <v>277</v>
      </c>
      <c r="D9" s="36">
        <f>D5+D6-D7+D8</f>
        <v>306.0331533333333</v>
      </c>
      <c r="E9" s="25"/>
      <c r="F9" s="25" t="s">
        <v>572</v>
      </c>
    </row>
    <row r="10" spans="2:6" x14ac:dyDescent="0.25">
      <c r="B10" s="25" t="s">
        <v>54</v>
      </c>
      <c r="C10" s="25" t="s">
        <v>571</v>
      </c>
      <c r="D10" s="36">
        <f>(D9+D5)/2</f>
        <v>316.05757666666665</v>
      </c>
      <c r="E10" s="25"/>
      <c r="F10" s="25" t="s">
        <v>573</v>
      </c>
    </row>
    <row r="13" spans="2:6" x14ac:dyDescent="0.25">
      <c r="B13" s="239" t="s">
        <v>578</v>
      </c>
      <c r="C13" s="239"/>
      <c r="D13" s="239"/>
      <c r="E13" s="239"/>
    </row>
    <row r="15" spans="2:6" x14ac:dyDescent="0.25">
      <c r="B15" s="26" t="s">
        <v>100</v>
      </c>
      <c r="C15" s="26" t="s">
        <v>6</v>
      </c>
      <c r="D15" s="189" t="s">
        <v>39</v>
      </c>
      <c r="E15" s="26" t="s">
        <v>9</v>
      </c>
    </row>
    <row r="16" spans="2:6" x14ac:dyDescent="0.25">
      <c r="B16" s="25" t="s">
        <v>10</v>
      </c>
      <c r="C16" s="25" t="s">
        <v>575</v>
      </c>
      <c r="D16" s="25"/>
      <c r="E16" s="25"/>
    </row>
    <row r="17" spans="2:8" x14ac:dyDescent="0.25">
      <c r="B17" s="25" t="s">
        <v>21</v>
      </c>
      <c r="C17" s="25" t="s">
        <v>576</v>
      </c>
      <c r="D17" s="25"/>
      <c r="E17" s="25"/>
    </row>
    <row r="18" spans="2:8" x14ac:dyDescent="0.25">
      <c r="B18" s="25" t="s">
        <v>30</v>
      </c>
      <c r="C18" s="26" t="s">
        <v>294</v>
      </c>
      <c r="D18" s="25"/>
      <c r="E18" s="25" t="s">
        <v>303</v>
      </c>
    </row>
    <row r="19" spans="2:8" ht="30" x14ac:dyDescent="0.25">
      <c r="B19" s="25" t="s">
        <v>50</v>
      </c>
      <c r="C19" s="25" t="s">
        <v>295</v>
      </c>
      <c r="D19" s="25"/>
      <c r="E19" s="25"/>
    </row>
    <row r="20" spans="2:8" x14ac:dyDescent="0.25">
      <c r="B20" s="25" t="s">
        <v>52</v>
      </c>
      <c r="C20" s="26" t="s">
        <v>296</v>
      </c>
      <c r="D20" s="25"/>
      <c r="E20" s="25" t="s">
        <v>302</v>
      </c>
    </row>
    <row r="21" spans="2:8" x14ac:dyDescent="0.25">
      <c r="B21" s="25" t="s">
        <v>54</v>
      </c>
      <c r="C21" s="25" t="s">
        <v>297</v>
      </c>
      <c r="D21" s="25"/>
      <c r="E21" s="25"/>
    </row>
    <row r="22" spans="2:8" ht="30" x14ac:dyDescent="0.25">
      <c r="B22" s="25" t="s">
        <v>58</v>
      </c>
      <c r="C22" s="25" t="s">
        <v>298</v>
      </c>
      <c r="D22" s="25"/>
      <c r="E22" s="25"/>
    </row>
    <row r="23" spans="2:8" ht="30" x14ac:dyDescent="0.25">
      <c r="B23" s="25" t="s">
        <v>61</v>
      </c>
      <c r="C23" s="26" t="s">
        <v>299</v>
      </c>
      <c r="D23" s="25"/>
      <c r="E23" s="25" t="s">
        <v>301</v>
      </c>
    </row>
    <row r="24" spans="2:8" x14ac:dyDescent="0.25">
      <c r="B24" s="25" t="s">
        <v>63</v>
      </c>
      <c r="C24" s="26" t="s">
        <v>300</v>
      </c>
      <c r="D24" s="25"/>
      <c r="E24" s="25"/>
    </row>
    <row r="27" spans="2:8" x14ac:dyDescent="0.25">
      <c r="B27" s="239" t="s">
        <v>579</v>
      </c>
      <c r="C27" s="297"/>
      <c r="D27" s="297"/>
      <c r="E27" s="297"/>
      <c r="G27" s="19"/>
      <c r="H27" s="19"/>
    </row>
    <row r="28" spans="2:8" x14ac:dyDescent="0.25">
      <c r="G28" s="19"/>
      <c r="H28" s="19"/>
    </row>
    <row r="29" spans="2:8" ht="30" x14ac:dyDescent="0.25">
      <c r="B29" s="26" t="s">
        <v>5</v>
      </c>
      <c r="C29" s="26" t="s">
        <v>6</v>
      </c>
      <c r="D29" s="189" t="s">
        <v>39</v>
      </c>
      <c r="E29" s="26" t="s">
        <v>9</v>
      </c>
      <c r="F29" s="189" t="s">
        <v>8</v>
      </c>
      <c r="G29" s="189" t="s">
        <v>726</v>
      </c>
    </row>
    <row r="30" spans="2:8" ht="30" x14ac:dyDescent="0.25">
      <c r="B30" s="25" t="s">
        <v>10</v>
      </c>
      <c r="C30" s="25" t="s">
        <v>580</v>
      </c>
      <c r="D30" s="65">
        <f>'T10'!D7</f>
        <v>1086.94</v>
      </c>
      <c r="E30" s="25"/>
      <c r="F30" s="36">
        <f>D30+D35</f>
        <v>1096.501</v>
      </c>
      <c r="G30" s="36">
        <f>F30+F35</f>
        <v>1111.0609999999999</v>
      </c>
    </row>
    <row r="31" spans="2:8" x14ac:dyDescent="0.25">
      <c r="B31" s="25" t="s">
        <v>21</v>
      </c>
      <c r="C31" s="25" t="s">
        <v>322</v>
      </c>
      <c r="D31" s="65">
        <f>'T11'!D11</f>
        <v>101.59</v>
      </c>
      <c r="E31" s="25"/>
      <c r="F31" s="36">
        <f>'T11'!D10</f>
        <v>78.67285333333335</v>
      </c>
      <c r="G31" s="36">
        <f>WC!D12</f>
        <v>85.703071178605683</v>
      </c>
    </row>
    <row r="32" spans="2:8" x14ac:dyDescent="0.25">
      <c r="B32" s="25" t="s">
        <v>30</v>
      </c>
      <c r="C32" s="25" t="s">
        <v>581</v>
      </c>
      <c r="D32" s="36">
        <f>'T10'!D65</f>
        <v>399.77</v>
      </c>
      <c r="E32" s="25"/>
      <c r="F32" s="36">
        <f>'T10'!D68</f>
        <v>438.87447799999995</v>
      </c>
      <c r="G32" s="36">
        <f>'T10'!F68</f>
        <v>478.21567399999992</v>
      </c>
    </row>
    <row r="33" spans="2:7" x14ac:dyDescent="0.25">
      <c r="B33" s="25" t="s">
        <v>50</v>
      </c>
      <c r="C33" s="25" t="s">
        <v>582</v>
      </c>
      <c r="D33" s="36">
        <f>'T10'!D27</f>
        <v>2.63</v>
      </c>
      <c r="E33" s="25"/>
      <c r="F33" s="36">
        <f>'T10'!D29</f>
        <v>10.969999999999999</v>
      </c>
      <c r="G33" s="36">
        <f>'Consumer contri'!D7</f>
        <v>10.969999999999999</v>
      </c>
    </row>
    <row r="34" spans="2:7" x14ac:dyDescent="0.25">
      <c r="B34" s="26" t="s">
        <v>52</v>
      </c>
      <c r="C34" s="3" t="s">
        <v>583</v>
      </c>
      <c r="D34" s="40">
        <f>D30+D31-D32-D33</f>
        <v>786.13</v>
      </c>
      <c r="E34" s="26" t="s">
        <v>584</v>
      </c>
      <c r="F34" s="40">
        <f>F30+F31-F33-F32</f>
        <v>725.32937533333325</v>
      </c>
      <c r="G34" s="40">
        <f>G30+G31-G33-G32</f>
        <v>707.57839717860577</v>
      </c>
    </row>
    <row r="35" spans="2:7" x14ac:dyDescent="0.25">
      <c r="B35" s="25" t="s">
        <v>54</v>
      </c>
      <c r="C35" s="25" t="s">
        <v>585</v>
      </c>
      <c r="D35" s="36">
        <f>'T10'!D8</f>
        <v>9.5609999999999999</v>
      </c>
      <c r="E35" s="25"/>
      <c r="F35" s="73">
        <f>Capex!E8</f>
        <v>14.56</v>
      </c>
      <c r="G35" s="36">
        <f>Capex!D8</f>
        <v>15.288000000000002</v>
      </c>
    </row>
    <row r="36" spans="2:7" x14ac:dyDescent="0.25">
      <c r="B36" s="4" t="s">
        <v>58</v>
      </c>
      <c r="C36" s="4" t="s">
        <v>290</v>
      </c>
      <c r="D36" s="65">
        <f>'T10'!D59</f>
        <v>39.104478</v>
      </c>
      <c r="E36" s="25" t="s">
        <v>328</v>
      </c>
      <c r="F36" s="36">
        <f>'T10'!F59</f>
        <v>39.341195999999997</v>
      </c>
      <c r="G36" s="36">
        <f>Dep!D28</f>
        <v>39.878459999999997</v>
      </c>
    </row>
    <row r="37" spans="2:7" x14ac:dyDescent="0.25">
      <c r="B37" s="25" t="s">
        <v>61</v>
      </c>
      <c r="C37" s="25" t="s">
        <v>586</v>
      </c>
      <c r="D37" s="36">
        <f>'T10'!D28</f>
        <v>8.34</v>
      </c>
      <c r="E37" s="25"/>
      <c r="F37" s="73">
        <f>'T10'!F18</f>
        <v>0</v>
      </c>
      <c r="G37" s="36">
        <f>'T10'!G18</f>
        <v>0</v>
      </c>
    </row>
    <row r="38" spans="2:7" x14ac:dyDescent="0.25">
      <c r="B38" s="25" t="s">
        <v>63</v>
      </c>
      <c r="C38" s="25" t="s">
        <v>316</v>
      </c>
      <c r="D38" s="36">
        <f>'T11'!D12</f>
        <v>-22.917146666666653</v>
      </c>
      <c r="E38" s="25"/>
      <c r="F38" s="36">
        <f>WC!F13</f>
        <v>7.0302178452723325</v>
      </c>
      <c r="G38" s="36">
        <f>WC!D13</f>
        <v>4.336667642981169</v>
      </c>
    </row>
    <row r="39" spans="2:7" x14ac:dyDescent="0.25">
      <c r="B39" s="25" t="s">
        <v>65</v>
      </c>
      <c r="C39" s="26" t="s">
        <v>335</v>
      </c>
      <c r="D39" s="36">
        <f>D34+D35-D36-D37+D38</f>
        <v>725.32937533333336</v>
      </c>
      <c r="E39" s="25" t="s">
        <v>587</v>
      </c>
      <c r="F39" s="40">
        <f>F34+F35-F36-F37+F38</f>
        <v>707.57839717860554</v>
      </c>
      <c r="G39" s="40">
        <f>G34+G35-G36-G37+G38</f>
        <v>687.32460482158695</v>
      </c>
    </row>
    <row r="40" spans="2:7" x14ac:dyDescent="0.25">
      <c r="B40" s="25" t="s">
        <v>67</v>
      </c>
      <c r="C40" s="28" t="s">
        <v>588</v>
      </c>
      <c r="D40" s="36">
        <f>((D35-D36-D37)/2)+D38</f>
        <v>-41.858885666666652</v>
      </c>
      <c r="E40" s="25"/>
      <c r="F40" s="36">
        <f>((F35-F36-F37)/2)+F38</f>
        <v>-5.3603801547276646</v>
      </c>
      <c r="G40" s="36">
        <f>((G35-G36-G37)/2)+G38</f>
        <v>-7.9585623570188275</v>
      </c>
    </row>
    <row r="41" spans="2:7" x14ac:dyDescent="0.25">
      <c r="B41" s="25" t="s">
        <v>69</v>
      </c>
      <c r="C41" s="25" t="s">
        <v>589</v>
      </c>
      <c r="D41" s="36">
        <f>D34+D40</f>
        <v>744.27111433333334</v>
      </c>
      <c r="E41" s="25"/>
      <c r="F41" s="36">
        <f>F34+F40</f>
        <v>719.96899517860561</v>
      </c>
      <c r="G41" s="36">
        <f>G34+G40</f>
        <v>699.61983482158689</v>
      </c>
    </row>
    <row r="42" spans="2:7" x14ac:dyDescent="0.25">
      <c r="D42" s="62"/>
    </row>
    <row r="44" spans="2:7" x14ac:dyDescent="0.25">
      <c r="B44" s="298" t="s">
        <v>354</v>
      </c>
      <c r="C44" s="298"/>
      <c r="D44" s="298"/>
      <c r="E44" s="298"/>
      <c r="F44" s="19"/>
    </row>
    <row r="45" spans="2:7" x14ac:dyDescent="0.25">
      <c r="B45" s="1"/>
      <c r="C45" s="1"/>
      <c r="D45" s="1"/>
      <c r="E45" s="1"/>
      <c r="F45" s="19"/>
    </row>
    <row r="46" spans="2:7" ht="30" x14ac:dyDescent="0.25">
      <c r="B46" s="26" t="s">
        <v>100</v>
      </c>
      <c r="C46" s="26" t="s">
        <v>6</v>
      </c>
      <c r="D46" s="189" t="s">
        <v>39</v>
      </c>
      <c r="E46" s="26" t="s">
        <v>9</v>
      </c>
      <c r="F46" s="189" t="s">
        <v>8</v>
      </c>
    </row>
    <row r="47" spans="2:7" x14ac:dyDescent="0.25">
      <c r="B47" s="25" t="s">
        <v>10</v>
      </c>
      <c r="C47" s="25" t="s">
        <v>351</v>
      </c>
      <c r="D47" s="65">
        <f>D41*0.7</f>
        <v>520.98978003333332</v>
      </c>
      <c r="E47" s="25"/>
      <c r="F47" s="36">
        <f>F41*0.7</f>
        <v>503.97829662502392</v>
      </c>
    </row>
    <row r="48" spans="2:7" x14ac:dyDescent="0.25">
      <c r="B48" s="25" t="s">
        <v>21</v>
      </c>
      <c r="C48" s="25" t="s">
        <v>347</v>
      </c>
      <c r="D48" s="65">
        <f>D41*0.3</f>
        <v>223.2813343</v>
      </c>
      <c r="E48" s="25"/>
      <c r="F48" s="36">
        <f>F41*0.3</f>
        <v>215.99069855358167</v>
      </c>
    </row>
    <row r="49" spans="2:6" x14ac:dyDescent="0.25">
      <c r="B49" s="26" t="s">
        <v>30</v>
      </c>
      <c r="C49" s="26" t="s">
        <v>73</v>
      </c>
      <c r="D49" s="40">
        <f>D47+D48</f>
        <v>744.27111433333334</v>
      </c>
      <c r="E49" s="26" t="s">
        <v>355</v>
      </c>
      <c r="F49" s="40">
        <f>F47+F48</f>
        <v>719.96899517860561</v>
      </c>
    </row>
    <row r="50" spans="2:6" x14ac:dyDescent="0.25">
      <c r="B50" s="25" t="s">
        <v>50</v>
      </c>
      <c r="C50" s="25" t="s">
        <v>359</v>
      </c>
      <c r="D50" s="35">
        <v>0.115</v>
      </c>
      <c r="E50" s="25"/>
      <c r="F50" s="35">
        <v>0.115</v>
      </c>
    </row>
    <row r="51" spans="2:6" x14ac:dyDescent="0.25">
      <c r="B51" s="25" t="s">
        <v>52</v>
      </c>
      <c r="C51" s="25" t="s">
        <v>358</v>
      </c>
      <c r="D51" s="35">
        <v>0.16</v>
      </c>
      <c r="E51" s="25"/>
      <c r="F51" s="35">
        <v>0.16</v>
      </c>
    </row>
    <row r="52" spans="2:6" x14ac:dyDescent="0.25">
      <c r="B52" s="220" t="s">
        <v>54</v>
      </c>
      <c r="C52" s="229" t="s">
        <v>360</v>
      </c>
      <c r="D52" s="230">
        <f>(D47*D50+D48*D51)/D49</f>
        <v>0.1285</v>
      </c>
      <c r="E52" s="229" t="s">
        <v>591</v>
      </c>
      <c r="F52" s="220"/>
    </row>
    <row r="53" spans="2:6" x14ac:dyDescent="0.25">
      <c r="B53" s="231"/>
      <c r="C53" s="232"/>
      <c r="D53" s="232"/>
      <c r="E53" s="231"/>
      <c r="F53" s="231"/>
    </row>
    <row r="56" spans="2:6" x14ac:dyDescent="0.25">
      <c r="B56" s="239" t="s">
        <v>592</v>
      </c>
      <c r="C56" s="239"/>
      <c r="D56" s="239"/>
      <c r="E56" s="239"/>
      <c r="F56" s="19"/>
    </row>
    <row r="57" spans="2:6" x14ac:dyDescent="0.25">
      <c r="F57" s="19"/>
    </row>
    <row r="58" spans="2:6" x14ac:dyDescent="0.25">
      <c r="B58" s="71" t="s">
        <v>100</v>
      </c>
      <c r="C58" s="71" t="s">
        <v>6</v>
      </c>
      <c r="D58" s="71" t="s">
        <v>39</v>
      </c>
      <c r="E58" s="71" t="s">
        <v>9</v>
      </c>
      <c r="F58" s="189" t="s">
        <v>8</v>
      </c>
    </row>
    <row r="59" spans="2:6" ht="30" x14ac:dyDescent="0.25">
      <c r="B59" s="70" t="s">
        <v>10</v>
      </c>
      <c r="C59" s="70" t="s">
        <v>593</v>
      </c>
      <c r="D59" s="35">
        <f>(70%*D50)+(30%*D51)</f>
        <v>0.1285</v>
      </c>
      <c r="E59" s="70"/>
      <c r="F59" s="35">
        <f>(70%*F50)+(30%*F51)</f>
        <v>0.1285</v>
      </c>
    </row>
    <row r="60" spans="2:6" x14ac:dyDescent="0.25">
      <c r="B60" s="70" t="s">
        <v>21</v>
      </c>
      <c r="C60" s="70" t="s">
        <v>364</v>
      </c>
      <c r="D60" s="36">
        <f>D41</f>
        <v>744.27111433333334</v>
      </c>
      <c r="E60" s="70"/>
      <c r="F60" s="36">
        <f>F41</f>
        <v>719.96899517860561</v>
      </c>
    </row>
    <row r="61" spans="2:6" x14ac:dyDescent="0.25">
      <c r="B61" s="70" t="s">
        <v>30</v>
      </c>
      <c r="C61" s="70" t="s">
        <v>366</v>
      </c>
      <c r="D61" s="36">
        <f>D59*D60</f>
        <v>95.638838191833344</v>
      </c>
      <c r="E61" s="70" t="s">
        <v>597</v>
      </c>
      <c r="F61" s="36">
        <f>F59*F60</f>
        <v>92.516015880450823</v>
      </c>
    </row>
    <row r="62" spans="2:6" x14ac:dyDescent="0.25">
      <c r="B62" s="70" t="s">
        <v>50</v>
      </c>
      <c r="C62" s="15" t="s">
        <v>594</v>
      </c>
      <c r="D62" s="72">
        <f>'T2'!D27</f>
        <v>2.0660855936823749E-2</v>
      </c>
      <c r="E62" s="15"/>
      <c r="F62" s="72">
        <f>'AT&amp;C Loss'!D13</f>
        <v>6.1644864041778991E-2</v>
      </c>
    </row>
    <row r="63" spans="2:6" ht="30" x14ac:dyDescent="0.25">
      <c r="B63" s="70" t="s">
        <v>52</v>
      </c>
      <c r="C63" s="15" t="s">
        <v>595</v>
      </c>
      <c r="D63" s="65">
        <f>(D60*30%)*D62</f>
        <v>4.6131834813540831</v>
      </c>
      <c r="E63" s="15" t="s">
        <v>598</v>
      </c>
      <c r="F63" s="65">
        <f>(F60*30%)*F62</f>
        <v>13.314717246624411</v>
      </c>
    </row>
    <row r="64" spans="2:6" x14ac:dyDescent="0.25">
      <c r="B64" s="70" t="s">
        <v>54</v>
      </c>
      <c r="C64" s="15" t="s">
        <v>596</v>
      </c>
      <c r="D64" s="65">
        <f>D61+D63</f>
        <v>100.25202167318743</v>
      </c>
      <c r="E64" s="15" t="s">
        <v>599</v>
      </c>
      <c r="F64" s="65">
        <f>F61+F63</f>
        <v>105.83073312707523</v>
      </c>
    </row>
  </sheetData>
  <customSheetViews>
    <customSheetView guid="{9CE83D47-1940-43F4-9510-4E48915AF617}" topLeftCell="A50">
      <selection activeCell="B56" sqref="B56:E56"/>
      <pageMargins left="0.7" right="0.7" top="0.75" bottom="0.75" header="0.3" footer="0.3"/>
    </customSheetView>
  </customSheetViews>
  <mergeCells count="5">
    <mergeCell ref="B2:F2"/>
    <mergeCell ref="B13:E13"/>
    <mergeCell ref="B27:E27"/>
    <mergeCell ref="B44:E44"/>
    <mergeCell ref="B56:E56"/>
  </mergeCells>
  <pageMargins left="0.25" right="0.25" top="0.75" bottom="0.75" header="0.3" footer="0.3"/>
  <pageSetup paperSize="9" scale="68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97"/>
  <sheetViews>
    <sheetView topLeftCell="C78" workbookViewId="0">
      <selection activeCell="E81" sqref="E81"/>
    </sheetView>
  </sheetViews>
  <sheetFormatPr defaultRowHeight="15" x14ac:dyDescent="0.25"/>
  <cols>
    <col min="1" max="2" width="9.140625" style="96"/>
    <col min="3" max="3" width="17.140625" style="96" customWidth="1"/>
    <col min="4" max="4" width="15.42578125" style="96" customWidth="1"/>
    <col min="5" max="6" width="14.28515625" style="96" customWidth="1"/>
    <col min="7" max="7" width="11" style="96" customWidth="1"/>
    <col min="8" max="9" width="14.28515625" style="96" customWidth="1"/>
    <col min="10" max="10" width="11.5703125" style="96" bestFit="1" customWidth="1"/>
    <col min="11" max="11" width="9.140625" style="96"/>
    <col min="12" max="12" width="39.5703125" style="96" customWidth="1"/>
    <col min="13" max="13" width="11.5703125" style="96" bestFit="1" customWidth="1"/>
    <col min="14" max="16384" width="9.140625" style="96"/>
  </cols>
  <sheetData>
    <row r="2" spans="2:9" x14ac:dyDescent="0.25">
      <c r="B2" s="239" t="s">
        <v>237</v>
      </c>
      <c r="C2" s="239"/>
      <c r="D2" s="239"/>
      <c r="E2" s="239"/>
      <c r="F2" s="239"/>
      <c r="G2" s="239"/>
      <c r="H2" s="239"/>
      <c r="I2" s="239"/>
    </row>
    <row r="4" spans="2:9" ht="30" customHeight="1" x14ac:dyDescent="0.25">
      <c r="B4" s="244" t="s">
        <v>100</v>
      </c>
      <c r="C4" s="244" t="s">
        <v>109</v>
      </c>
      <c r="D4" s="251" t="s">
        <v>8</v>
      </c>
      <c r="E4" s="252"/>
      <c r="F4" s="253"/>
      <c r="G4" s="251" t="s">
        <v>726</v>
      </c>
      <c r="H4" s="252"/>
      <c r="I4" s="253"/>
    </row>
    <row r="5" spans="2:9" ht="30" x14ac:dyDescent="0.25">
      <c r="B5" s="244"/>
      <c r="C5" s="244"/>
      <c r="D5" s="99" t="s">
        <v>465</v>
      </c>
      <c r="E5" s="99" t="s">
        <v>828</v>
      </c>
      <c r="F5" s="99" t="s">
        <v>829</v>
      </c>
      <c r="G5" s="99" t="s">
        <v>465</v>
      </c>
      <c r="H5" s="99" t="s">
        <v>828</v>
      </c>
      <c r="I5" s="99" t="s">
        <v>829</v>
      </c>
    </row>
    <row r="6" spans="2:9" x14ac:dyDescent="0.25">
      <c r="B6" s="99">
        <v>1</v>
      </c>
      <c r="C6" s="99">
        <v>2</v>
      </c>
      <c r="D6" s="99">
        <v>3</v>
      </c>
      <c r="E6" s="99">
        <v>4</v>
      </c>
      <c r="F6" s="99">
        <v>5</v>
      </c>
      <c r="G6" s="99">
        <v>6</v>
      </c>
      <c r="H6" s="99">
        <v>7</v>
      </c>
      <c r="I6" s="99">
        <v>8</v>
      </c>
    </row>
    <row r="7" spans="2:9" ht="45" x14ac:dyDescent="0.25">
      <c r="B7" s="99" t="s">
        <v>10</v>
      </c>
      <c r="C7" s="99" t="s">
        <v>123</v>
      </c>
      <c r="D7" s="4"/>
      <c r="E7" s="4"/>
      <c r="F7" s="4"/>
      <c r="G7" s="4"/>
      <c r="H7" s="78"/>
      <c r="I7" s="4"/>
    </row>
    <row r="8" spans="2:9" x14ac:dyDescent="0.25">
      <c r="B8" s="99" t="s">
        <v>21</v>
      </c>
      <c r="C8" s="99" t="s">
        <v>124</v>
      </c>
      <c r="D8" s="4"/>
      <c r="E8" s="4"/>
      <c r="F8" s="4"/>
      <c r="G8" s="4"/>
      <c r="H8" s="78"/>
      <c r="I8" s="4"/>
    </row>
    <row r="9" spans="2:9" x14ac:dyDescent="0.25">
      <c r="B9" s="4" t="s">
        <v>12</v>
      </c>
      <c r="C9" s="4" t="s">
        <v>125</v>
      </c>
      <c r="D9" s="4"/>
      <c r="E9" s="4"/>
      <c r="F9" s="4"/>
      <c r="G9" s="4"/>
      <c r="H9" s="78"/>
      <c r="I9" s="4"/>
    </row>
    <row r="10" spans="2:9" x14ac:dyDescent="0.25">
      <c r="B10" s="4" t="s">
        <v>15</v>
      </c>
      <c r="C10" s="4" t="s">
        <v>126</v>
      </c>
      <c r="D10" s="4"/>
      <c r="E10" s="4"/>
      <c r="F10" s="4"/>
      <c r="G10" s="4"/>
      <c r="H10" s="78"/>
      <c r="I10" s="4"/>
    </row>
    <row r="11" spans="2:9" x14ac:dyDescent="0.25">
      <c r="B11" s="4" t="s">
        <v>18</v>
      </c>
      <c r="C11" s="4" t="s">
        <v>127</v>
      </c>
      <c r="D11" s="4"/>
      <c r="E11" s="4"/>
      <c r="F11" s="4"/>
      <c r="G11" s="4"/>
      <c r="H11" s="78"/>
      <c r="I11" s="4"/>
    </row>
    <row r="12" spans="2:9" x14ac:dyDescent="0.25">
      <c r="B12" s="4" t="s">
        <v>19</v>
      </c>
      <c r="C12" s="4" t="s">
        <v>128</v>
      </c>
      <c r="D12" s="4"/>
      <c r="E12" s="4"/>
      <c r="F12" s="4"/>
      <c r="G12" s="4"/>
      <c r="H12" s="78"/>
      <c r="I12" s="4"/>
    </row>
    <row r="13" spans="2:9" x14ac:dyDescent="0.25">
      <c r="B13" s="4" t="s">
        <v>27</v>
      </c>
      <c r="C13" s="4" t="s">
        <v>129</v>
      </c>
      <c r="D13" s="4"/>
      <c r="E13" s="4"/>
      <c r="F13" s="4"/>
      <c r="G13" s="4"/>
      <c r="H13" s="78"/>
      <c r="I13" s="4"/>
    </row>
    <row r="14" spans="2:9" x14ac:dyDescent="0.25">
      <c r="B14" s="4" t="s">
        <v>130</v>
      </c>
      <c r="C14" s="4" t="s">
        <v>131</v>
      </c>
      <c r="D14" s="4"/>
      <c r="E14" s="4"/>
      <c r="F14" s="4"/>
      <c r="G14" s="4"/>
      <c r="H14" s="78"/>
      <c r="I14" s="4"/>
    </row>
    <row r="15" spans="2:9" x14ac:dyDescent="0.25">
      <c r="B15" s="4" t="s">
        <v>132</v>
      </c>
      <c r="C15" s="4" t="s">
        <v>133</v>
      </c>
      <c r="D15" s="4"/>
      <c r="E15" s="4"/>
      <c r="F15" s="4"/>
      <c r="G15" s="4"/>
      <c r="H15" s="78"/>
      <c r="I15" s="4"/>
    </row>
    <row r="16" spans="2:9" x14ac:dyDescent="0.25">
      <c r="B16" s="4" t="s">
        <v>134</v>
      </c>
      <c r="C16" s="4" t="s">
        <v>135</v>
      </c>
      <c r="D16" s="4"/>
      <c r="E16" s="4"/>
      <c r="F16" s="4"/>
      <c r="G16" s="4"/>
      <c r="H16" s="78"/>
      <c r="I16" s="4"/>
    </row>
    <row r="17" spans="2:9" x14ac:dyDescent="0.25">
      <c r="B17" s="4" t="s">
        <v>136</v>
      </c>
      <c r="C17" s="4" t="s">
        <v>137</v>
      </c>
      <c r="D17" s="4"/>
      <c r="E17" s="4"/>
      <c r="F17" s="4"/>
      <c r="G17" s="4"/>
      <c r="H17" s="78"/>
      <c r="I17" s="4"/>
    </row>
    <row r="18" spans="2:9" x14ac:dyDescent="0.25">
      <c r="B18" s="4" t="s">
        <v>140</v>
      </c>
      <c r="C18" s="4" t="s">
        <v>138</v>
      </c>
      <c r="D18" s="4"/>
      <c r="E18" s="4"/>
      <c r="F18" s="4"/>
      <c r="G18" s="4"/>
      <c r="H18" s="78"/>
      <c r="I18" s="4"/>
    </row>
    <row r="19" spans="2:9" x14ac:dyDescent="0.25">
      <c r="B19" s="4" t="s">
        <v>141</v>
      </c>
      <c r="C19" s="4" t="s">
        <v>139</v>
      </c>
      <c r="D19" s="4"/>
      <c r="E19" s="4"/>
      <c r="F19" s="4"/>
      <c r="G19" s="4"/>
      <c r="H19" s="78"/>
      <c r="I19" s="4"/>
    </row>
    <row r="20" spans="2:9" x14ac:dyDescent="0.25">
      <c r="B20" s="4" t="s">
        <v>142</v>
      </c>
      <c r="C20" s="4" t="s">
        <v>143</v>
      </c>
      <c r="D20" s="4"/>
      <c r="E20" s="4"/>
      <c r="F20" s="4"/>
      <c r="G20" s="4"/>
      <c r="H20" s="78"/>
      <c r="I20" s="4"/>
    </row>
    <row r="21" spans="2:9" x14ac:dyDescent="0.25">
      <c r="B21" s="4" t="s">
        <v>144</v>
      </c>
      <c r="C21" s="4" t="s">
        <v>147</v>
      </c>
      <c r="D21" s="4"/>
      <c r="E21" s="4"/>
      <c r="F21" s="4"/>
      <c r="G21" s="4"/>
      <c r="H21" s="78"/>
      <c r="I21" s="4"/>
    </row>
    <row r="22" spans="2:9" x14ac:dyDescent="0.25">
      <c r="B22" s="4" t="s">
        <v>145</v>
      </c>
      <c r="C22" s="4" t="s">
        <v>148</v>
      </c>
      <c r="D22" s="4"/>
      <c r="E22" s="4"/>
      <c r="F22" s="4"/>
      <c r="G22" s="4"/>
      <c r="H22" s="78"/>
      <c r="I22" s="4"/>
    </row>
    <row r="23" spans="2:9" x14ac:dyDescent="0.25">
      <c r="B23" s="4" t="s">
        <v>146</v>
      </c>
      <c r="C23" s="4" t="s">
        <v>149</v>
      </c>
      <c r="D23" s="4"/>
      <c r="E23" s="4"/>
      <c r="F23" s="4"/>
      <c r="G23" s="4"/>
      <c r="H23" s="78"/>
      <c r="I23" s="4"/>
    </row>
    <row r="24" spans="2:9" x14ac:dyDescent="0.25">
      <c r="B24" s="4" t="s">
        <v>150</v>
      </c>
      <c r="C24" s="4" t="s">
        <v>151</v>
      </c>
      <c r="D24" s="4"/>
      <c r="E24" s="4"/>
      <c r="F24" s="4"/>
      <c r="G24" s="4"/>
      <c r="H24" s="78"/>
      <c r="I24" s="4"/>
    </row>
    <row r="25" spans="2:9" x14ac:dyDescent="0.25">
      <c r="B25" s="4" t="s">
        <v>152</v>
      </c>
      <c r="C25" s="99" t="s">
        <v>73</v>
      </c>
      <c r="D25" s="4"/>
      <c r="E25" s="4"/>
      <c r="F25" s="4"/>
      <c r="G25" s="4"/>
      <c r="H25" s="78"/>
      <c r="I25" s="4"/>
    </row>
    <row r="26" spans="2:9" x14ac:dyDescent="0.25">
      <c r="B26" s="4"/>
      <c r="C26" s="4"/>
      <c r="D26" s="4"/>
      <c r="E26" s="4"/>
      <c r="F26" s="4"/>
      <c r="G26" s="4"/>
      <c r="H26" s="78"/>
      <c r="I26" s="4"/>
    </row>
    <row r="27" spans="2:9" x14ac:dyDescent="0.25">
      <c r="B27" s="99" t="s">
        <v>30</v>
      </c>
      <c r="C27" s="99" t="s">
        <v>153</v>
      </c>
      <c r="D27" s="4"/>
      <c r="E27" s="4"/>
      <c r="F27" s="4"/>
      <c r="G27" s="4"/>
      <c r="H27" s="78"/>
      <c r="I27" s="4"/>
    </row>
    <row r="28" spans="2:9" x14ac:dyDescent="0.25">
      <c r="B28" s="4" t="s">
        <v>12</v>
      </c>
      <c r="C28" s="4" t="s">
        <v>154</v>
      </c>
      <c r="D28" s="4"/>
      <c r="E28" s="4"/>
      <c r="F28" s="4"/>
      <c r="G28" s="4"/>
      <c r="H28" s="78"/>
      <c r="I28" s="4"/>
    </row>
    <row r="29" spans="2:9" x14ac:dyDescent="0.25">
      <c r="B29" s="4" t="s">
        <v>15</v>
      </c>
      <c r="C29" s="4" t="s">
        <v>155</v>
      </c>
      <c r="D29" s="4"/>
      <c r="E29" s="4"/>
      <c r="F29" s="4"/>
      <c r="G29" s="4"/>
      <c r="H29" s="78"/>
      <c r="I29" s="4"/>
    </row>
    <row r="30" spans="2:9" x14ac:dyDescent="0.25">
      <c r="B30" s="4" t="s">
        <v>18</v>
      </c>
      <c r="C30" s="4" t="s">
        <v>156</v>
      </c>
      <c r="D30" s="4"/>
      <c r="E30" s="4"/>
      <c r="F30" s="4"/>
      <c r="G30" s="4"/>
      <c r="H30" s="78"/>
      <c r="I30" s="4"/>
    </row>
    <row r="31" spans="2:9" x14ac:dyDescent="0.25">
      <c r="B31" s="4" t="s">
        <v>19</v>
      </c>
      <c r="C31" s="4" t="s">
        <v>157</v>
      </c>
      <c r="D31" s="4"/>
      <c r="E31" s="4"/>
      <c r="F31" s="4"/>
      <c r="G31" s="4"/>
      <c r="H31" s="78"/>
      <c r="I31" s="4"/>
    </row>
    <row r="32" spans="2:9" x14ac:dyDescent="0.25">
      <c r="B32" s="4" t="s">
        <v>27</v>
      </c>
      <c r="C32" s="4" t="s">
        <v>158</v>
      </c>
      <c r="D32" s="4"/>
      <c r="E32" s="4"/>
      <c r="F32" s="4"/>
      <c r="G32" s="4"/>
      <c r="H32" s="78"/>
      <c r="I32" s="4"/>
    </row>
    <row r="33" spans="2:9" x14ac:dyDescent="0.25">
      <c r="B33" s="4" t="s">
        <v>130</v>
      </c>
      <c r="C33" s="4" t="s">
        <v>159</v>
      </c>
      <c r="D33" s="4"/>
      <c r="E33" s="4"/>
      <c r="F33" s="4"/>
      <c r="G33" s="4"/>
      <c r="H33" s="78"/>
      <c r="I33" s="4"/>
    </row>
    <row r="34" spans="2:9" x14ac:dyDescent="0.25">
      <c r="B34" s="4" t="s">
        <v>132</v>
      </c>
      <c r="C34" s="4" t="s">
        <v>160</v>
      </c>
      <c r="D34" s="4"/>
      <c r="E34" s="4"/>
      <c r="F34" s="4"/>
      <c r="G34" s="4"/>
      <c r="H34" s="78"/>
      <c r="I34" s="4"/>
    </row>
    <row r="35" spans="2:9" x14ac:dyDescent="0.25">
      <c r="B35" s="4" t="s">
        <v>134</v>
      </c>
      <c r="C35" s="4" t="s">
        <v>161</v>
      </c>
      <c r="D35" s="4"/>
      <c r="E35" s="4"/>
      <c r="F35" s="4"/>
      <c r="G35" s="4"/>
      <c r="H35" s="78"/>
      <c r="I35" s="4"/>
    </row>
    <row r="36" spans="2:9" x14ac:dyDescent="0.25">
      <c r="B36" s="4" t="s">
        <v>136</v>
      </c>
      <c r="C36" s="4" t="s">
        <v>162</v>
      </c>
      <c r="D36" s="4"/>
      <c r="E36" s="4"/>
      <c r="F36" s="4"/>
      <c r="G36" s="4"/>
      <c r="H36" s="78"/>
      <c r="I36" s="4"/>
    </row>
    <row r="37" spans="2:9" x14ac:dyDescent="0.25">
      <c r="B37" s="4" t="s">
        <v>140</v>
      </c>
      <c r="C37" s="4" t="s">
        <v>163</v>
      </c>
      <c r="D37" s="4"/>
      <c r="E37" s="4"/>
      <c r="F37" s="4"/>
      <c r="G37" s="4"/>
      <c r="H37" s="78"/>
      <c r="I37" s="4"/>
    </row>
    <row r="38" spans="2:9" x14ac:dyDescent="0.25">
      <c r="B38" s="4" t="s">
        <v>141</v>
      </c>
      <c r="C38" s="4" t="s">
        <v>164</v>
      </c>
      <c r="D38" s="4"/>
      <c r="E38" s="4"/>
      <c r="F38" s="4"/>
      <c r="G38" s="4"/>
      <c r="H38" s="78"/>
      <c r="I38" s="4"/>
    </row>
    <row r="39" spans="2:9" x14ac:dyDescent="0.25">
      <c r="B39" s="4" t="s">
        <v>142</v>
      </c>
      <c r="C39" s="4" t="s">
        <v>165</v>
      </c>
      <c r="D39" s="4"/>
      <c r="E39" s="4"/>
      <c r="F39" s="4"/>
      <c r="G39" s="4"/>
      <c r="H39" s="78"/>
      <c r="I39" s="4"/>
    </row>
    <row r="40" spans="2:9" x14ac:dyDescent="0.25">
      <c r="B40" s="4" t="s">
        <v>144</v>
      </c>
      <c r="C40" s="99" t="s">
        <v>73</v>
      </c>
      <c r="D40" s="4"/>
      <c r="E40" s="4"/>
      <c r="F40" s="4"/>
      <c r="G40" s="4"/>
      <c r="H40" s="78"/>
      <c r="I40" s="4"/>
    </row>
    <row r="41" spans="2:9" x14ac:dyDescent="0.25">
      <c r="B41" s="4"/>
      <c r="C41" s="4"/>
      <c r="D41" s="4"/>
      <c r="E41" s="4"/>
      <c r="F41" s="4"/>
      <c r="G41" s="4"/>
      <c r="H41" s="78"/>
      <c r="I41" s="4"/>
    </row>
    <row r="42" spans="2:9" x14ac:dyDescent="0.25">
      <c r="B42" s="99" t="s">
        <v>50</v>
      </c>
      <c r="C42" s="99" t="s">
        <v>166</v>
      </c>
      <c r="D42" s="4"/>
      <c r="E42" s="4"/>
      <c r="F42" s="4"/>
      <c r="G42" s="4"/>
      <c r="H42" s="78"/>
      <c r="I42" s="4"/>
    </row>
    <row r="43" spans="2:9" x14ac:dyDescent="0.25">
      <c r="B43" s="4" t="s">
        <v>12</v>
      </c>
      <c r="C43" s="4" t="s">
        <v>167</v>
      </c>
      <c r="D43" s="4"/>
      <c r="E43" s="4"/>
      <c r="F43" s="4"/>
      <c r="G43" s="4"/>
      <c r="H43" s="78"/>
      <c r="I43" s="4"/>
    </row>
    <row r="44" spans="2:9" x14ac:dyDescent="0.25">
      <c r="B44" s="4" t="s">
        <v>15</v>
      </c>
      <c r="C44" s="4" t="s">
        <v>168</v>
      </c>
      <c r="D44" s="4"/>
      <c r="E44" s="4"/>
      <c r="F44" s="4"/>
      <c r="G44" s="4"/>
      <c r="H44" s="78"/>
      <c r="I44" s="4"/>
    </row>
    <row r="45" spans="2:9" x14ac:dyDescent="0.25">
      <c r="B45" s="4" t="s">
        <v>18</v>
      </c>
      <c r="C45" s="99" t="s">
        <v>73</v>
      </c>
      <c r="D45" s="4"/>
      <c r="E45" s="4"/>
      <c r="F45" s="4"/>
      <c r="G45" s="4"/>
      <c r="H45" s="78"/>
      <c r="I45" s="4"/>
    </row>
    <row r="46" spans="2:9" x14ac:dyDescent="0.25">
      <c r="B46" s="4"/>
      <c r="C46" s="4"/>
      <c r="D46" s="4"/>
      <c r="E46" s="4"/>
      <c r="F46" s="4"/>
      <c r="G46" s="4"/>
      <c r="H46" s="78"/>
      <c r="I46" s="4"/>
    </row>
    <row r="47" spans="2:9" x14ac:dyDescent="0.25">
      <c r="B47" s="99" t="s">
        <v>52</v>
      </c>
      <c r="C47" s="99" t="s">
        <v>169</v>
      </c>
      <c r="D47" s="4"/>
      <c r="E47" s="4"/>
      <c r="F47" s="4"/>
      <c r="G47" s="4"/>
      <c r="H47" s="78"/>
      <c r="I47" s="4"/>
    </row>
    <row r="48" spans="2:9" x14ac:dyDescent="0.25">
      <c r="B48" s="4" t="s">
        <v>12</v>
      </c>
      <c r="C48" s="4"/>
      <c r="D48" s="4"/>
      <c r="E48" s="4"/>
      <c r="F48" s="4"/>
      <c r="G48" s="4"/>
      <c r="H48" s="78"/>
      <c r="I48" s="4"/>
    </row>
    <row r="49" spans="2:9" x14ac:dyDescent="0.25">
      <c r="B49" s="4" t="s">
        <v>15</v>
      </c>
      <c r="C49" s="4"/>
      <c r="D49" s="4"/>
      <c r="E49" s="4"/>
      <c r="F49" s="4"/>
      <c r="G49" s="4"/>
      <c r="H49" s="78"/>
      <c r="I49" s="4"/>
    </row>
    <row r="50" spans="2:9" x14ac:dyDescent="0.25">
      <c r="B50" s="4" t="s">
        <v>18</v>
      </c>
      <c r="C50" s="99" t="s">
        <v>73</v>
      </c>
      <c r="D50" s="4"/>
      <c r="E50" s="4"/>
      <c r="F50" s="4"/>
      <c r="G50" s="4"/>
      <c r="H50" s="78"/>
      <c r="I50" s="4"/>
    </row>
    <row r="51" spans="2:9" x14ac:dyDescent="0.25">
      <c r="B51" s="4"/>
      <c r="C51" s="4"/>
      <c r="D51" s="4"/>
      <c r="E51" s="4"/>
      <c r="F51" s="4"/>
      <c r="G51" s="4"/>
      <c r="H51" s="78"/>
      <c r="I51" s="4"/>
    </row>
    <row r="52" spans="2:9" x14ac:dyDescent="0.25">
      <c r="B52" s="99" t="s">
        <v>54</v>
      </c>
      <c r="C52" s="99" t="s">
        <v>170</v>
      </c>
      <c r="D52" s="4"/>
      <c r="E52" s="4"/>
      <c r="F52" s="4"/>
      <c r="G52" s="4"/>
      <c r="H52" s="78"/>
      <c r="I52" s="4"/>
    </row>
    <row r="53" spans="2:9" x14ac:dyDescent="0.25">
      <c r="B53" s="4" t="s">
        <v>12</v>
      </c>
      <c r="C53" s="4" t="s">
        <v>171</v>
      </c>
      <c r="D53" s="4"/>
      <c r="E53" s="4"/>
      <c r="F53" s="4"/>
      <c r="G53" s="4"/>
      <c r="H53" s="78"/>
      <c r="I53" s="4"/>
    </row>
    <row r="54" spans="2:9" x14ac:dyDescent="0.25">
      <c r="B54" s="4" t="s">
        <v>15</v>
      </c>
      <c r="C54" s="4" t="s">
        <v>172</v>
      </c>
      <c r="D54" s="4"/>
      <c r="E54" s="4"/>
      <c r="F54" s="4"/>
      <c r="G54" s="4"/>
      <c r="H54" s="78"/>
      <c r="I54" s="4"/>
    </row>
    <row r="55" spans="2:9" x14ac:dyDescent="0.25">
      <c r="B55" s="4" t="s">
        <v>18</v>
      </c>
      <c r="C55" s="4" t="s">
        <v>173</v>
      </c>
      <c r="D55" s="4"/>
      <c r="E55" s="4"/>
      <c r="F55" s="4"/>
      <c r="G55" s="4"/>
      <c r="H55" s="78"/>
      <c r="I55" s="4"/>
    </row>
    <row r="56" spans="2:9" x14ac:dyDescent="0.25">
      <c r="B56" s="4" t="s">
        <v>19</v>
      </c>
      <c r="C56" s="99" t="s">
        <v>73</v>
      </c>
      <c r="D56" s="4"/>
      <c r="E56" s="4"/>
      <c r="F56" s="4"/>
      <c r="G56" s="4"/>
      <c r="H56" s="78"/>
      <c r="I56" s="4"/>
    </row>
    <row r="57" spans="2:9" x14ac:dyDescent="0.25">
      <c r="B57" s="4"/>
      <c r="C57" s="4"/>
      <c r="D57" s="4"/>
      <c r="E57" s="4"/>
      <c r="F57" s="4"/>
      <c r="G57" s="4"/>
      <c r="H57" s="78"/>
      <c r="I57" s="4"/>
    </row>
    <row r="58" spans="2:9" x14ac:dyDescent="0.25">
      <c r="B58" s="99" t="s">
        <v>58</v>
      </c>
      <c r="C58" s="99" t="s">
        <v>174</v>
      </c>
      <c r="D58" s="4"/>
      <c r="E58" s="4"/>
      <c r="F58" s="4"/>
      <c r="G58" s="4"/>
      <c r="H58" s="78"/>
      <c r="I58" s="4"/>
    </row>
    <row r="59" spans="2:9" x14ac:dyDescent="0.25">
      <c r="B59" s="4" t="s">
        <v>12</v>
      </c>
      <c r="C59" s="4"/>
      <c r="D59" s="4"/>
      <c r="E59" s="4"/>
      <c r="F59" s="4"/>
      <c r="G59" s="4"/>
      <c r="H59" s="78"/>
      <c r="I59" s="4"/>
    </row>
    <row r="60" spans="2:9" x14ac:dyDescent="0.25">
      <c r="B60" s="4" t="s">
        <v>15</v>
      </c>
      <c r="C60" s="4"/>
      <c r="D60" s="4"/>
      <c r="E60" s="4"/>
      <c r="F60" s="4"/>
      <c r="G60" s="4"/>
      <c r="H60" s="78"/>
      <c r="I60" s="4"/>
    </row>
    <row r="61" spans="2:9" x14ac:dyDescent="0.25">
      <c r="B61" s="4" t="s">
        <v>18</v>
      </c>
      <c r="C61" s="99" t="s">
        <v>73</v>
      </c>
      <c r="D61" s="4"/>
      <c r="E61" s="4"/>
      <c r="F61" s="4"/>
      <c r="G61" s="4"/>
      <c r="H61" s="78"/>
      <c r="I61" s="4"/>
    </row>
    <row r="62" spans="2:9" x14ac:dyDescent="0.25">
      <c r="B62" s="4"/>
      <c r="C62" s="4"/>
      <c r="D62" s="4"/>
      <c r="E62" s="4"/>
      <c r="F62" s="4"/>
      <c r="G62" s="4"/>
      <c r="H62" s="78"/>
      <c r="I62" s="4"/>
    </row>
    <row r="63" spans="2:9" x14ac:dyDescent="0.25">
      <c r="B63" s="99" t="s">
        <v>61</v>
      </c>
      <c r="C63" s="99" t="s">
        <v>72</v>
      </c>
      <c r="D63" s="4"/>
      <c r="E63" s="4"/>
      <c r="F63" s="4"/>
      <c r="G63" s="4"/>
      <c r="H63" s="78"/>
      <c r="I63" s="4"/>
    </row>
    <row r="64" spans="2:9" x14ac:dyDescent="0.25">
      <c r="B64" s="4" t="s">
        <v>12</v>
      </c>
      <c r="C64" s="4" t="s">
        <v>175</v>
      </c>
      <c r="D64" s="4"/>
      <c r="E64" s="4"/>
      <c r="F64" s="4"/>
      <c r="G64" s="4"/>
      <c r="H64" s="78"/>
      <c r="I64" s="4"/>
    </row>
    <row r="65" spans="2:12" x14ac:dyDescent="0.25">
      <c r="B65" s="4" t="s">
        <v>15</v>
      </c>
      <c r="C65" s="4"/>
      <c r="D65" s="4"/>
      <c r="E65" s="4"/>
      <c r="F65" s="4"/>
      <c r="G65" s="4"/>
      <c r="H65" s="78"/>
      <c r="I65" s="4"/>
    </row>
    <row r="66" spans="2:12" x14ac:dyDescent="0.25">
      <c r="B66" s="4" t="s">
        <v>18</v>
      </c>
      <c r="C66" s="99" t="s">
        <v>73</v>
      </c>
      <c r="D66" s="4"/>
      <c r="E66" s="4"/>
      <c r="F66" s="4"/>
      <c r="G66" s="4"/>
      <c r="H66" s="78"/>
      <c r="I66" s="4"/>
    </row>
    <row r="67" spans="2:12" x14ac:dyDescent="0.25">
      <c r="B67" s="4"/>
      <c r="C67" s="4"/>
      <c r="D67" s="4"/>
      <c r="E67" s="4"/>
      <c r="F67" s="4"/>
      <c r="G67" s="4"/>
      <c r="H67" s="78"/>
      <c r="I67" s="4"/>
    </row>
    <row r="68" spans="2:12" x14ac:dyDescent="0.25">
      <c r="B68" s="99" t="s">
        <v>63</v>
      </c>
      <c r="C68" s="99" t="s">
        <v>176</v>
      </c>
      <c r="D68" s="4"/>
      <c r="E68" s="4"/>
      <c r="F68" s="4"/>
      <c r="G68" s="4"/>
      <c r="H68" s="78"/>
      <c r="I68" s="4"/>
    </row>
    <row r="69" spans="2:12" x14ac:dyDescent="0.25">
      <c r="B69" s="99"/>
      <c r="C69" s="99"/>
      <c r="D69" s="4"/>
      <c r="E69" s="4"/>
      <c r="F69" s="4"/>
      <c r="G69" s="4"/>
      <c r="H69" s="78"/>
      <c r="I69" s="4"/>
    </row>
    <row r="70" spans="2:12" ht="30" x14ac:dyDescent="0.25">
      <c r="B70" s="99" t="s">
        <v>65</v>
      </c>
      <c r="C70" s="99" t="s">
        <v>177</v>
      </c>
      <c r="D70" s="4"/>
      <c r="E70" s="4"/>
      <c r="F70" s="4"/>
      <c r="G70" s="4"/>
      <c r="H70" s="78"/>
      <c r="I70" s="4"/>
    </row>
    <row r="71" spans="2:12" x14ac:dyDescent="0.25">
      <c r="B71" s="4" t="s">
        <v>12</v>
      </c>
      <c r="C71" s="4" t="s">
        <v>178</v>
      </c>
      <c r="D71" s="4">
        <v>598.84</v>
      </c>
      <c r="E71" s="161">
        <f>F71*(D71+D72)/10</f>
        <v>650.02950398079111</v>
      </c>
      <c r="F71" s="241">
        <f>('T6'!H71:H72)*(100%+Assumption!D31)</f>
        <v>5.1437372221977089</v>
      </c>
      <c r="G71" s="4">
        <f>D71</f>
        <v>598.84</v>
      </c>
      <c r="H71" s="127">
        <f>I71*(G71+G72)/10</f>
        <v>650.02950398079111</v>
      </c>
      <c r="I71" s="241">
        <f>F71</f>
        <v>5.1437372221977089</v>
      </c>
      <c r="J71" s="113"/>
      <c r="K71" s="113"/>
      <c r="L71" s="113"/>
    </row>
    <row r="72" spans="2:12" x14ac:dyDescent="0.25">
      <c r="B72" s="4" t="s">
        <v>15</v>
      </c>
      <c r="C72" s="4" t="s">
        <v>883</v>
      </c>
      <c r="D72" s="59">
        <v>664.89</v>
      </c>
      <c r="E72" s="162"/>
      <c r="F72" s="242"/>
      <c r="G72" s="59">
        <f t="shared" ref="G72:G77" si="0">D72</f>
        <v>664.89</v>
      </c>
      <c r="H72" s="128"/>
      <c r="I72" s="242"/>
      <c r="J72" s="113"/>
      <c r="K72" s="113"/>
      <c r="L72" s="113"/>
    </row>
    <row r="73" spans="2:12" x14ac:dyDescent="0.25">
      <c r="B73" s="4" t="s">
        <v>18</v>
      </c>
      <c r="C73" s="4" t="s">
        <v>180</v>
      </c>
      <c r="D73" s="96">
        <v>0.496</v>
      </c>
      <c r="E73" s="241">
        <f>F73*(D73+D74)/10</f>
        <v>0.92034022058823539</v>
      </c>
      <c r="F73" s="241">
        <f>('T6'!H73:H74)*(100%+Assumption!D31)</f>
        <v>5.6255514705882357</v>
      </c>
      <c r="G73" s="4">
        <f t="shared" si="0"/>
        <v>0.496</v>
      </c>
      <c r="H73" s="241">
        <f>I73*(G73+G74)/10</f>
        <v>0.92034022058823539</v>
      </c>
      <c r="I73" s="241">
        <f>F73</f>
        <v>5.6255514705882357</v>
      </c>
      <c r="J73" s="113"/>
      <c r="K73" s="113"/>
      <c r="L73" s="113"/>
    </row>
    <row r="74" spans="2:12" x14ac:dyDescent="0.25">
      <c r="B74" s="4" t="s">
        <v>19</v>
      </c>
      <c r="C74" s="4" t="s">
        <v>181</v>
      </c>
      <c r="D74" s="114">
        <v>1.1399999999999999</v>
      </c>
      <c r="E74" s="242"/>
      <c r="F74" s="242"/>
      <c r="G74" s="4">
        <f t="shared" si="0"/>
        <v>1.1399999999999999</v>
      </c>
      <c r="H74" s="242"/>
      <c r="I74" s="242"/>
      <c r="J74" s="113"/>
      <c r="K74" s="113"/>
      <c r="L74" s="113"/>
    </row>
    <row r="75" spans="2:12" x14ac:dyDescent="0.25">
      <c r="B75" s="4" t="s">
        <v>27</v>
      </c>
      <c r="C75" s="4" t="s">
        <v>182</v>
      </c>
      <c r="D75" s="4">
        <v>545.03</v>
      </c>
      <c r="E75" s="241">
        <f>F75*(D75+D76)/10</f>
        <v>290.18011337423309</v>
      </c>
      <c r="F75" s="241">
        <f>('T6'!H75:H76)*(100%+Assumption!D31)</f>
        <v>4.3167689161554188</v>
      </c>
      <c r="G75" s="4">
        <f t="shared" si="0"/>
        <v>545.03</v>
      </c>
      <c r="H75" s="241">
        <f>I75*(G75+G76)/10</f>
        <v>290.18011337423309</v>
      </c>
      <c r="I75" s="241">
        <f>F75</f>
        <v>4.3167689161554188</v>
      </c>
      <c r="J75" s="113"/>
      <c r="K75" s="113"/>
      <c r="L75" s="113"/>
    </row>
    <row r="76" spans="2:12" x14ac:dyDescent="0.25">
      <c r="B76" s="4" t="s">
        <v>130</v>
      </c>
      <c r="C76" s="4" t="s">
        <v>802</v>
      </c>
      <c r="D76" s="4">
        <v>127.18600000000001</v>
      </c>
      <c r="E76" s="242"/>
      <c r="F76" s="242"/>
      <c r="G76" s="4">
        <f t="shared" si="0"/>
        <v>127.18600000000001</v>
      </c>
      <c r="H76" s="242"/>
      <c r="I76" s="242"/>
      <c r="J76" s="113"/>
      <c r="K76" s="113"/>
      <c r="L76" s="113"/>
    </row>
    <row r="77" spans="2:12" x14ac:dyDescent="0.25">
      <c r="B77" s="4"/>
      <c r="C77" s="99" t="s">
        <v>183</v>
      </c>
      <c r="D77" s="4">
        <f>SUM(D71:D76)</f>
        <v>1937.5820000000001</v>
      </c>
      <c r="E77" s="78">
        <f>SUM(E71:E76)</f>
        <v>941.12995757561248</v>
      </c>
      <c r="F77" s="78">
        <f>E77*10/D77</f>
        <v>4.8572393714207323</v>
      </c>
      <c r="G77" s="78">
        <f t="shared" si="0"/>
        <v>1937.5820000000001</v>
      </c>
      <c r="H77" s="78">
        <f>H71+H73+H75</f>
        <v>941.12995757561248</v>
      </c>
      <c r="I77" s="78">
        <f>F77</f>
        <v>4.8572393714207323</v>
      </c>
      <c r="J77" s="113"/>
      <c r="K77" s="113"/>
      <c r="L77" s="113"/>
    </row>
    <row r="78" spans="2:12" ht="30" x14ac:dyDescent="0.25">
      <c r="B78" s="4"/>
      <c r="C78" s="99" t="s">
        <v>900</v>
      </c>
      <c r="D78" s="78">
        <f>Assumption!D16</f>
        <v>1.26</v>
      </c>
      <c r="E78" s="78">
        <f>D78*Assumption!D10/10</f>
        <v>0.97272000000000003</v>
      </c>
      <c r="F78" s="78">
        <f>E78*10/D78</f>
        <v>7.72</v>
      </c>
      <c r="G78" s="78">
        <f>Assumption!E16</f>
        <v>1.575</v>
      </c>
      <c r="H78" s="78">
        <f>G78*Assumption!E10/10</f>
        <v>1.2159</v>
      </c>
      <c r="I78" s="78">
        <f>H78*10/G78</f>
        <v>7.72</v>
      </c>
      <c r="J78" s="96" t="s">
        <v>885</v>
      </c>
      <c r="K78" s="115"/>
      <c r="L78" s="113"/>
    </row>
    <row r="79" spans="2:12" ht="30" x14ac:dyDescent="0.25">
      <c r="B79" s="99"/>
      <c r="C79" s="99" t="s">
        <v>901</v>
      </c>
      <c r="D79" s="4">
        <f>Assumption!D17</f>
        <v>23.25</v>
      </c>
      <c r="E79" s="78">
        <f>Assumption!D11</f>
        <v>9.8800000000000008</v>
      </c>
      <c r="F79" s="78">
        <f>E79*10/D79</f>
        <v>4.2494623655913983</v>
      </c>
      <c r="G79" s="4">
        <f>Assumption!E17</f>
        <v>23.25</v>
      </c>
      <c r="H79" s="78">
        <f>Assumption!E11</f>
        <v>9.8800000000000008</v>
      </c>
      <c r="I79" s="78">
        <f>H79*10/G79</f>
        <v>4.2494623655913983</v>
      </c>
      <c r="J79" s="115"/>
      <c r="K79" s="115"/>
      <c r="L79" s="115"/>
    </row>
    <row r="80" spans="2:12" x14ac:dyDescent="0.25">
      <c r="B80" s="4" t="s">
        <v>67</v>
      </c>
      <c r="C80" s="99" t="s">
        <v>884</v>
      </c>
      <c r="D80" s="78">
        <f>SUM(D78,D79)</f>
        <v>24.51</v>
      </c>
      <c r="E80" s="78">
        <f>SUM(E78,E79)</f>
        <v>10.852720000000001</v>
      </c>
      <c r="F80" s="78">
        <f>E80*10/D80</f>
        <v>4.4278743370053046</v>
      </c>
      <c r="G80" s="78">
        <f>SUM(G78:G79)</f>
        <v>24.824999999999999</v>
      </c>
      <c r="H80" s="78">
        <f>SUM(H78,H79)</f>
        <v>11.0959</v>
      </c>
      <c r="I80" s="78">
        <f>H80*10/G80</f>
        <v>4.4696475327291036</v>
      </c>
      <c r="K80" s="115"/>
      <c r="L80" s="115"/>
    </row>
    <row r="81" spans="2:12" ht="60" x14ac:dyDescent="0.25">
      <c r="B81" s="4"/>
      <c r="C81" s="99" t="s">
        <v>184</v>
      </c>
      <c r="D81" s="78">
        <f>D77+D80</f>
        <v>1962.0920000000001</v>
      </c>
      <c r="E81" s="78">
        <f>E77+E80</f>
        <v>951.98267757561246</v>
      </c>
      <c r="F81" s="78">
        <f>E81*10/D81</f>
        <v>4.8518758425986777</v>
      </c>
      <c r="G81" s="78">
        <f>G77+G80</f>
        <v>1962.4070000000002</v>
      </c>
      <c r="H81" s="78">
        <f>SUM(H77,H80)</f>
        <v>952.22585757561251</v>
      </c>
      <c r="I81" s="78">
        <f>H81*10/G81</f>
        <v>4.8523362257452831</v>
      </c>
      <c r="J81" s="96" t="s">
        <v>836</v>
      </c>
      <c r="K81" s="115"/>
      <c r="L81" s="115"/>
    </row>
    <row r="82" spans="2:12" ht="15" customHeight="1" x14ac:dyDescent="0.25">
      <c r="E82" s="116"/>
      <c r="F82" s="116"/>
      <c r="H82" s="116"/>
    </row>
    <row r="84" spans="2:12" ht="22.5" customHeight="1" x14ac:dyDescent="0.25">
      <c r="C84" s="239" t="s">
        <v>236</v>
      </c>
      <c r="D84" s="239"/>
      <c r="E84" s="239"/>
      <c r="F84" s="239"/>
      <c r="G84" s="239"/>
      <c r="H84" s="239"/>
      <c r="I84" s="239"/>
      <c r="J84" s="239"/>
      <c r="K84" s="239"/>
    </row>
    <row r="85" spans="2:12" x14ac:dyDescent="0.25">
      <c r="C85" s="244" t="s">
        <v>5</v>
      </c>
      <c r="D85" s="248" t="s">
        <v>194</v>
      </c>
      <c r="E85" s="254" t="s">
        <v>832</v>
      </c>
      <c r="F85" s="254"/>
      <c r="G85" s="254"/>
      <c r="H85" s="245" t="s">
        <v>833</v>
      </c>
      <c r="I85" s="246"/>
      <c r="J85" s="246"/>
      <c r="K85" s="247"/>
    </row>
    <row r="86" spans="2:12" ht="45" x14ac:dyDescent="0.25">
      <c r="C86" s="244"/>
      <c r="D86" s="249"/>
      <c r="E86" s="99" t="s">
        <v>195</v>
      </c>
      <c r="F86" s="99" t="s">
        <v>196</v>
      </c>
      <c r="G86" s="99" t="s">
        <v>197</v>
      </c>
      <c r="H86" s="99" t="s">
        <v>195</v>
      </c>
      <c r="I86" s="99" t="s">
        <v>196</v>
      </c>
      <c r="J86" s="99" t="s">
        <v>197</v>
      </c>
      <c r="K86" s="244" t="s">
        <v>9</v>
      </c>
      <c r="L86" s="243" t="s">
        <v>989</v>
      </c>
    </row>
    <row r="87" spans="2:12" x14ac:dyDescent="0.25">
      <c r="C87" s="244"/>
      <c r="D87" s="250"/>
      <c r="E87" s="99" t="s">
        <v>14</v>
      </c>
      <c r="F87" s="99" t="s">
        <v>198</v>
      </c>
      <c r="G87" s="99" t="s">
        <v>189</v>
      </c>
      <c r="H87" s="99" t="s">
        <v>14</v>
      </c>
      <c r="I87" s="99" t="s">
        <v>198</v>
      </c>
      <c r="J87" s="99" t="s">
        <v>189</v>
      </c>
      <c r="K87" s="244"/>
      <c r="L87" s="243"/>
    </row>
    <row r="88" spans="2:12" x14ac:dyDescent="0.25">
      <c r="C88" s="99">
        <v>1</v>
      </c>
      <c r="D88" s="99">
        <v>2</v>
      </c>
      <c r="E88" s="99"/>
      <c r="F88" s="99"/>
      <c r="G88" s="99"/>
      <c r="H88" s="99">
        <v>3</v>
      </c>
      <c r="I88" s="99">
        <v>4</v>
      </c>
      <c r="J88" s="99" t="s">
        <v>199</v>
      </c>
      <c r="K88" s="99">
        <v>6</v>
      </c>
      <c r="L88" s="243"/>
    </row>
    <row r="89" spans="2:12" x14ac:dyDescent="0.25">
      <c r="C89" s="4" t="s">
        <v>10</v>
      </c>
      <c r="D89" s="4" t="s">
        <v>200</v>
      </c>
      <c r="E89" s="4"/>
      <c r="F89" s="4"/>
      <c r="G89" s="4"/>
      <c r="H89" s="4"/>
      <c r="I89" s="4"/>
      <c r="J89" s="4"/>
      <c r="K89" s="4"/>
      <c r="L89" s="243"/>
    </row>
    <row r="90" spans="2:12" x14ac:dyDescent="0.25">
      <c r="C90" s="4" t="s">
        <v>21</v>
      </c>
      <c r="D90" s="4" t="s">
        <v>201</v>
      </c>
      <c r="E90" s="78">
        <f>SUM(E91:E93)</f>
        <v>-4.6630000000000003</v>
      </c>
      <c r="F90" s="193"/>
      <c r="G90" s="78">
        <f>SUM(G91:G93)</f>
        <v>0.37229500000000004</v>
      </c>
      <c r="H90" s="4"/>
      <c r="I90" s="4"/>
      <c r="J90" s="4"/>
      <c r="K90" s="4"/>
      <c r="L90" s="243"/>
    </row>
    <row r="91" spans="2:12" x14ac:dyDescent="0.25">
      <c r="C91" s="114"/>
      <c r="D91" s="186" t="s">
        <v>967</v>
      </c>
      <c r="E91" s="194">
        <v>7.4660000000000002</v>
      </c>
      <c r="F91" s="193">
        <f>G91*10/E91</f>
        <v>0.35000000000000003</v>
      </c>
      <c r="G91" s="78">
        <f>E91*(3.5/100)</f>
        <v>0.26131000000000004</v>
      </c>
      <c r="H91" s="4"/>
      <c r="I91" s="4"/>
      <c r="J91" s="4"/>
      <c r="K91" s="4"/>
      <c r="L91" s="243"/>
    </row>
    <row r="92" spans="2:12" x14ac:dyDescent="0.25">
      <c r="C92" s="114"/>
      <c r="D92" s="186" t="s">
        <v>968</v>
      </c>
      <c r="E92" s="194">
        <v>3.1709999999999998</v>
      </c>
      <c r="F92" s="193">
        <f>G92*10/E92</f>
        <v>0.35000000000000003</v>
      </c>
      <c r="G92" s="78">
        <f>E92*(3.5/100)</f>
        <v>0.110985</v>
      </c>
      <c r="H92" s="4"/>
      <c r="I92" s="4"/>
      <c r="J92" s="4"/>
      <c r="K92" s="4"/>
      <c r="L92" s="243"/>
    </row>
    <row r="93" spans="2:12" x14ac:dyDescent="0.25">
      <c r="C93" s="114"/>
      <c r="D93" s="186" t="s">
        <v>969</v>
      </c>
      <c r="E93" s="194">
        <v>-15.3</v>
      </c>
      <c r="F93" s="193"/>
      <c r="G93" s="78">
        <v>0</v>
      </c>
      <c r="H93" s="4"/>
      <c r="I93" s="4"/>
      <c r="J93" s="4"/>
      <c r="K93" s="4"/>
      <c r="L93" s="243"/>
    </row>
    <row r="94" spans="2:12" x14ac:dyDescent="0.25">
      <c r="C94" s="4" t="s">
        <v>30</v>
      </c>
      <c r="D94" s="4" t="s">
        <v>202</v>
      </c>
      <c r="E94" s="241">
        <v>15.247999999999999</v>
      </c>
      <c r="F94" s="241">
        <f>G94*10/E94</f>
        <v>6.2290136411332631</v>
      </c>
      <c r="G94" s="241">
        <v>9.4979999999999993</v>
      </c>
      <c r="H94" s="4"/>
      <c r="I94" s="4"/>
      <c r="J94" s="4"/>
      <c r="K94" s="4"/>
      <c r="L94" s="243"/>
    </row>
    <row r="95" spans="2:12" x14ac:dyDescent="0.25">
      <c r="C95" s="4" t="s">
        <v>50</v>
      </c>
      <c r="D95" s="4" t="s">
        <v>203</v>
      </c>
      <c r="E95" s="242"/>
      <c r="F95" s="242"/>
      <c r="G95" s="242"/>
      <c r="H95" s="4"/>
      <c r="I95" s="4"/>
      <c r="J95" s="4"/>
      <c r="K95" s="4"/>
      <c r="L95" s="243"/>
    </row>
    <row r="96" spans="2:12" ht="30" x14ac:dyDescent="0.25">
      <c r="C96" s="4" t="s">
        <v>52</v>
      </c>
      <c r="D96" s="4" t="s">
        <v>204</v>
      </c>
      <c r="E96" s="78"/>
      <c r="F96" s="78"/>
      <c r="G96" s="78"/>
      <c r="H96" s="4"/>
      <c r="I96" s="4"/>
      <c r="J96" s="4"/>
      <c r="K96" s="4"/>
      <c r="L96" s="243"/>
    </row>
    <row r="97" spans="3:12" x14ac:dyDescent="0.25">
      <c r="C97" s="4"/>
      <c r="D97" s="99" t="s">
        <v>73</v>
      </c>
      <c r="E97" s="40">
        <f>SUM(E94:E96,E89:E90)</f>
        <v>10.584999999999999</v>
      </c>
      <c r="F97" s="40"/>
      <c r="G97" s="40">
        <f>SUM(G94:G96,G89:G90)</f>
        <v>9.8702949999999987</v>
      </c>
      <c r="H97" s="181">
        <f>SUM(H94:H96,H89:H90)</f>
        <v>0</v>
      </c>
      <c r="I97" s="181"/>
      <c r="J97" s="181">
        <f>SUM(J94:J96,J89:J90)</f>
        <v>0</v>
      </c>
      <c r="K97" s="181">
        <f>SUM(K94:K96,K89:K90)</f>
        <v>0</v>
      </c>
      <c r="L97" s="243"/>
    </row>
  </sheetData>
  <customSheetViews>
    <customSheetView guid="{9CE83D47-1940-43F4-9510-4E48915AF617}">
      <selection activeCell="B78" sqref="B4:C78"/>
      <pageMargins left="0.7" right="0.7" top="0.75" bottom="0.75" header="0.3" footer="0.3"/>
    </customSheetView>
  </customSheetViews>
  <mergeCells count="25">
    <mergeCell ref="B2:I2"/>
    <mergeCell ref="K86:K87"/>
    <mergeCell ref="D4:F4"/>
    <mergeCell ref="G4:I4"/>
    <mergeCell ref="E75:E76"/>
    <mergeCell ref="F71:F72"/>
    <mergeCell ref="F73:F74"/>
    <mergeCell ref="F75:F76"/>
    <mergeCell ref="E85:G85"/>
    <mergeCell ref="E73:E74"/>
    <mergeCell ref="I71:I72"/>
    <mergeCell ref="I73:I74"/>
    <mergeCell ref="I75:I76"/>
    <mergeCell ref="H73:H74"/>
    <mergeCell ref="G94:G95"/>
    <mergeCell ref="E94:E95"/>
    <mergeCell ref="C84:K84"/>
    <mergeCell ref="L86:L97"/>
    <mergeCell ref="B4:B5"/>
    <mergeCell ref="C4:C5"/>
    <mergeCell ref="H75:H76"/>
    <mergeCell ref="F94:F95"/>
    <mergeCell ref="H85:K85"/>
    <mergeCell ref="D85:D87"/>
    <mergeCell ref="C85:C87"/>
  </mergeCells>
  <pageMargins left="0.7" right="0.7" top="0.75" bottom="0.75" header="0.3" footer="0.3"/>
  <pageSetup paperSize="9" scale="45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3"/>
  <sheetViews>
    <sheetView workbookViewId="0">
      <selection activeCell="D4" sqref="D4"/>
    </sheetView>
  </sheetViews>
  <sheetFormatPr defaultRowHeight="15" x14ac:dyDescent="0.25"/>
  <cols>
    <col min="3" max="3" width="29.7109375" customWidth="1"/>
    <col min="4" max="4" width="17.28515625" customWidth="1"/>
    <col min="5" max="5" width="12.85546875" customWidth="1"/>
  </cols>
  <sheetData>
    <row r="2" spans="2:5" x14ac:dyDescent="0.25">
      <c r="B2" s="299" t="s">
        <v>376</v>
      </c>
      <c r="C2" s="299"/>
      <c r="D2" s="299"/>
      <c r="E2" s="299"/>
    </row>
    <row r="3" spans="2:5" x14ac:dyDescent="0.25">
      <c r="B3" s="53" t="s">
        <v>100</v>
      </c>
      <c r="C3" s="53" t="s">
        <v>6</v>
      </c>
      <c r="D3" s="53" t="s">
        <v>254</v>
      </c>
      <c r="E3" s="53" t="s">
        <v>9</v>
      </c>
    </row>
    <row r="4" spans="2:5" x14ac:dyDescent="0.25">
      <c r="B4" s="198" t="s">
        <v>10</v>
      </c>
      <c r="C4" s="198" t="s">
        <v>608</v>
      </c>
      <c r="D4" s="199">
        <f>('T12'!D34+'T12'!D39)/2</f>
        <v>755.72968766666668</v>
      </c>
      <c r="E4" s="198"/>
    </row>
    <row r="5" spans="2:5" x14ac:dyDescent="0.25">
      <c r="B5" s="198" t="s">
        <v>21</v>
      </c>
      <c r="C5" s="198" t="s">
        <v>347</v>
      </c>
      <c r="D5" s="199">
        <f>'T12'!D48</f>
        <v>223.2813343</v>
      </c>
      <c r="E5" s="198"/>
    </row>
    <row r="6" spans="2:5" x14ac:dyDescent="0.25">
      <c r="B6" s="198" t="s">
        <v>30</v>
      </c>
      <c r="C6" s="198" t="s">
        <v>351</v>
      </c>
      <c r="D6" s="199">
        <f>'T12'!D47</f>
        <v>520.98978003333332</v>
      </c>
      <c r="E6" s="198"/>
    </row>
    <row r="7" spans="2:5" x14ac:dyDescent="0.25">
      <c r="B7" s="198" t="s">
        <v>50</v>
      </c>
      <c r="C7" s="198" t="s">
        <v>609</v>
      </c>
      <c r="D7" s="200">
        <f>D5/D4</f>
        <v>0.29545132068238106</v>
      </c>
      <c r="E7" s="198" t="s">
        <v>612</v>
      </c>
    </row>
    <row r="8" spans="2:5" x14ac:dyDescent="0.25">
      <c r="B8" s="198" t="s">
        <v>52</v>
      </c>
      <c r="C8" s="198" t="s">
        <v>364</v>
      </c>
      <c r="D8" s="199">
        <f>'T12'!D41</f>
        <v>744.27111433333334</v>
      </c>
      <c r="E8" s="198"/>
    </row>
    <row r="9" spans="2:5" x14ac:dyDescent="0.25">
      <c r="B9" s="198" t="s">
        <v>54</v>
      </c>
      <c r="C9" s="198" t="s">
        <v>610</v>
      </c>
      <c r="D9" s="199">
        <f>D8*D7</f>
        <v>219.89588367553077</v>
      </c>
      <c r="E9" s="198" t="s">
        <v>613</v>
      </c>
    </row>
    <row r="10" spans="2:5" x14ac:dyDescent="0.25">
      <c r="B10" s="198" t="s">
        <v>58</v>
      </c>
      <c r="C10" s="198" t="s">
        <v>362</v>
      </c>
      <c r="D10" s="201">
        <f>'T12'!D62+'T12'!D51</f>
        <v>0.18066085593682374</v>
      </c>
      <c r="E10" s="198"/>
    </row>
    <row r="11" spans="2:5" x14ac:dyDescent="0.25">
      <c r="B11" s="198" t="s">
        <v>61</v>
      </c>
      <c r="C11" s="198" t="s">
        <v>358</v>
      </c>
      <c r="D11" s="199">
        <f>D9*D10</f>
        <v>39.726578561805617</v>
      </c>
      <c r="E11" s="198" t="s">
        <v>614</v>
      </c>
    </row>
    <row r="12" spans="2:5" x14ac:dyDescent="0.25">
      <c r="B12" s="198" t="s">
        <v>63</v>
      </c>
      <c r="C12" s="198" t="s">
        <v>611</v>
      </c>
      <c r="D12" s="202">
        <v>0.33989999999999998</v>
      </c>
      <c r="E12" s="198" t="s">
        <v>63</v>
      </c>
    </row>
    <row r="13" spans="2:5" x14ac:dyDescent="0.25">
      <c r="B13" s="198" t="s">
        <v>65</v>
      </c>
      <c r="C13" s="198" t="s">
        <v>376</v>
      </c>
      <c r="D13" s="199">
        <f>(D11/(1-D12))-D11</f>
        <v>20.456088551973529</v>
      </c>
      <c r="E13" s="198" t="s">
        <v>615</v>
      </c>
    </row>
  </sheetData>
  <customSheetViews>
    <customSheetView guid="{9CE83D47-1940-43F4-9510-4E48915AF617}">
      <pageMargins left="0.7" right="0.7" top="0.75" bottom="0.75" header="0.3" footer="0.3"/>
    </customSheetView>
  </customSheetViews>
  <mergeCells count="1">
    <mergeCell ref="B2:E2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G32"/>
  <sheetViews>
    <sheetView topLeftCell="A13" workbookViewId="0">
      <selection activeCell="C26" sqref="C26"/>
    </sheetView>
  </sheetViews>
  <sheetFormatPr defaultRowHeight="15" x14ac:dyDescent="0.25"/>
  <cols>
    <col min="1" max="2" width="9.140625" style="119"/>
    <col min="3" max="3" width="31.42578125" style="119" customWidth="1"/>
    <col min="4" max="4" width="19.7109375" style="119" customWidth="1"/>
    <col min="5" max="5" width="21.28515625" style="119" customWidth="1"/>
    <col min="6" max="6" width="24.85546875" style="119" customWidth="1"/>
    <col min="7" max="16384" width="9.140625" style="119"/>
  </cols>
  <sheetData>
    <row r="3" spans="2:7" x14ac:dyDescent="0.25">
      <c r="B3" s="256" t="s">
        <v>617</v>
      </c>
      <c r="C3" s="256"/>
      <c r="D3" s="256"/>
      <c r="E3" s="256"/>
      <c r="F3" s="256"/>
      <c r="G3" s="134"/>
    </row>
    <row r="4" spans="2:7" x14ac:dyDescent="0.25">
      <c r="D4" s="119" t="s">
        <v>672</v>
      </c>
    </row>
    <row r="5" spans="2:7" ht="57" customHeight="1" x14ac:dyDescent="0.25">
      <c r="B5" s="52" t="s">
        <v>100</v>
      </c>
      <c r="C5" s="52" t="s">
        <v>6</v>
      </c>
      <c r="D5" s="135" t="s">
        <v>673</v>
      </c>
      <c r="E5" s="52" t="s">
        <v>39</v>
      </c>
      <c r="F5" s="52" t="s">
        <v>9</v>
      </c>
    </row>
    <row r="6" spans="2:7" x14ac:dyDescent="0.25">
      <c r="B6" s="118" t="s">
        <v>10</v>
      </c>
      <c r="C6" s="118" t="s">
        <v>619</v>
      </c>
      <c r="D6" s="118">
        <f>684.19+18.52+27.98</f>
        <v>730.69</v>
      </c>
      <c r="E6" s="129">
        <f>'T7'!D30</f>
        <v>926.96376000000009</v>
      </c>
      <c r="F6" s="118"/>
    </row>
    <row r="7" spans="2:7" x14ac:dyDescent="0.25">
      <c r="B7" s="118" t="s">
        <v>21</v>
      </c>
      <c r="C7" s="118" t="s">
        <v>620</v>
      </c>
      <c r="D7" s="118">
        <v>151.13999999999999</v>
      </c>
      <c r="E7" s="129">
        <f>'T8'!E12</f>
        <v>148.1172</v>
      </c>
      <c r="F7" s="118"/>
    </row>
    <row r="8" spans="2:7" ht="48.75" customHeight="1" x14ac:dyDescent="0.25">
      <c r="B8" s="118" t="s">
        <v>30</v>
      </c>
      <c r="C8" s="118" t="s">
        <v>621</v>
      </c>
      <c r="D8" s="118">
        <v>45.37</v>
      </c>
      <c r="E8" s="129">
        <f>'T8'!D18</f>
        <v>143.54</v>
      </c>
      <c r="F8" s="98" t="s">
        <v>670</v>
      </c>
    </row>
    <row r="9" spans="2:7" x14ac:dyDescent="0.25">
      <c r="B9" s="118" t="s">
        <v>50</v>
      </c>
      <c r="C9" s="118" t="s">
        <v>290</v>
      </c>
      <c r="D9" s="118">
        <v>39.700000000000003</v>
      </c>
      <c r="E9" s="129">
        <f>'T10'!D59</f>
        <v>39.104478</v>
      </c>
      <c r="F9" s="118"/>
    </row>
    <row r="10" spans="2:7" x14ac:dyDescent="0.25">
      <c r="B10" s="118" t="s">
        <v>52</v>
      </c>
      <c r="C10" s="118" t="s">
        <v>401</v>
      </c>
      <c r="D10" s="118">
        <v>102.82</v>
      </c>
      <c r="E10" s="129">
        <f>'T12'!D64</f>
        <v>100.25202167318743</v>
      </c>
      <c r="F10" s="118"/>
    </row>
    <row r="11" spans="2:7" x14ac:dyDescent="0.25">
      <c r="B11" s="118" t="s">
        <v>54</v>
      </c>
      <c r="C11" s="118" t="s">
        <v>376</v>
      </c>
      <c r="D11" s="118"/>
      <c r="E11" s="129">
        <f>'T13'!D13</f>
        <v>20.456088551973529</v>
      </c>
      <c r="F11" s="118"/>
    </row>
    <row r="12" spans="2:7" x14ac:dyDescent="0.25">
      <c r="B12" s="118" t="s">
        <v>58</v>
      </c>
      <c r="C12" s="118" t="s">
        <v>402</v>
      </c>
      <c r="D12" s="118">
        <f>SUM(D6:D11)</f>
        <v>1069.72</v>
      </c>
      <c r="E12" s="129">
        <f>SUM(E6:E11)</f>
        <v>1378.4335482251611</v>
      </c>
      <c r="F12" s="118" t="s">
        <v>622</v>
      </c>
    </row>
    <row r="13" spans="2:7" x14ac:dyDescent="0.25">
      <c r="B13" s="118" t="s">
        <v>61</v>
      </c>
      <c r="C13" s="118" t="s">
        <v>623</v>
      </c>
      <c r="D13" s="118">
        <v>21.41</v>
      </c>
      <c r="E13" s="129">
        <f>'T9'!D18</f>
        <v>6.8886004829999994</v>
      </c>
      <c r="F13" s="118"/>
    </row>
    <row r="14" spans="2:7" x14ac:dyDescent="0.25">
      <c r="B14" s="147" t="s">
        <v>63</v>
      </c>
      <c r="C14" s="147" t="s">
        <v>624</v>
      </c>
      <c r="D14" s="147"/>
      <c r="E14" s="148">
        <v>0</v>
      </c>
      <c r="F14" s="147"/>
    </row>
    <row r="15" spans="2:7" x14ac:dyDescent="0.25">
      <c r="B15" s="118" t="s">
        <v>65</v>
      </c>
      <c r="C15" s="118" t="s">
        <v>625</v>
      </c>
      <c r="D15" s="118">
        <f>D12-D13-D14</f>
        <v>1048.31</v>
      </c>
      <c r="E15" s="129">
        <f>E12-E13-E14</f>
        <v>1371.5449477421612</v>
      </c>
      <c r="F15" s="118" t="s">
        <v>629</v>
      </c>
    </row>
    <row r="16" spans="2:7" x14ac:dyDescent="0.25">
      <c r="B16" s="118" t="s">
        <v>67</v>
      </c>
      <c r="C16" s="118" t="s">
        <v>626</v>
      </c>
      <c r="D16" s="118"/>
      <c r="E16" s="129"/>
      <c r="F16" s="118"/>
    </row>
    <row r="17" spans="2:6" x14ac:dyDescent="0.25">
      <c r="B17" s="118" t="s">
        <v>69</v>
      </c>
      <c r="C17" s="118" t="s">
        <v>627</v>
      </c>
      <c r="D17" s="118">
        <f>D15+D16</f>
        <v>1048.31</v>
      </c>
      <c r="E17" s="129">
        <f>E15+E16</f>
        <v>1371.5449477421612</v>
      </c>
      <c r="F17" s="118" t="s">
        <v>628</v>
      </c>
    </row>
    <row r="19" spans="2:6" x14ac:dyDescent="0.25">
      <c r="B19" s="256" t="s">
        <v>630</v>
      </c>
      <c r="C19" s="256"/>
      <c r="D19" s="256"/>
    </row>
    <row r="21" spans="2:6" x14ac:dyDescent="0.25">
      <c r="B21" s="52" t="s">
        <v>100</v>
      </c>
      <c r="C21" s="52" t="s">
        <v>6</v>
      </c>
      <c r="D21" s="52" t="s">
        <v>254</v>
      </c>
    </row>
    <row r="22" spans="2:6" x14ac:dyDescent="0.25">
      <c r="B22" s="118" t="s">
        <v>10</v>
      </c>
      <c r="C22" s="118" t="s">
        <v>631</v>
      </c>
      <c r="D22" s="118">
        <f>'T3'!D17</f>
        <v>918.92</v>
      </c>
      <c r="E22" s="119" t="s">
        <v>674</v>
      </c>
    </row>
    <row r="23" spans="2:6" x14ac:dyDescent="0.25">
      <c r="B23" s="118" t="s">
        <v>21</v>
      </c>
      <c r="C23" s="118" t="s">
        <v>632</v>
      </c>
      <c r="D23" s="118"/>
    </row>
    <row r="24" spans="2:6" x14ac:dyDescent="0.25">
      <c r="B24" s="118" t="s">
        <v>30</v>
      </c>
      <c r="C24" s="118" t="s">
        <v>633</v>
      </c>
      <c r="D24" s="118">
        <f>D22</f>
        <v>918.92</v>
      </c>
    </row>
    <row r="27" spans="2:6" x14ac:dyDescent="0.25">
      <c r="B27" s="256" t="s">
        <v>987</v>
      </c>
      <c r="C27" s="256"/>
      <c r="D27" s="256"/>
      <c r="E27" s="256"/>
      <c r="F27" s="256"/>
    </row>
    <row r="28" spans="2:6" x14ac:dyDescent="0.25">
      <c r="B28" s="90"/>
      <c r="C28" s="90"/>
      <c r="D28" s="90"/>
      <c r="E28" s="90"/>
      <c r="F28" s="90"/>
    </row>
    <row r="29" spans="2:6" x14ac:dyDescent="0.25">
      <c r="B29" s="52" t="s">
        <v>100</v>
      </c>
      <c r="C29" s="52" t="s">
        <v>6</v>
      </c>
      <c r="D29" s="52" t="s">
        <v>618</v>
      </c>
      <c r="E29" s="52" t="s">
        <v>254</v>
      </c>
      <c r="F29" s="52" t="s">
        <v>9</v>
      </c>
    </row>
    <row r="30" spans="2:6" x14ac:dyDescent="0.25">
      <c r="B30" s="118" t="s">
        <v>10</v>
      </c>
      <c r="C30" s="118" t="s">
        <v>634</v>
      </c>
      <c r="D30" s="118">
        <f>D17</f>
        <v>1048.31</v>
      </c>
      <c r="E30" s="129">
        <f>E17</f>
        <v>1371.5449477421612</v>
      </c>
      <c r="F30" s="118"/>
    </row>
    <row r="31" spans="2:6" x14ac:dyDescent="0.25">
      <c r="B31" s="118" t="s">
        <v>21</v>
      </c>
      <c r="C31" s="118" t="s">
        <v>638</v>
      </c>
      <c r="D31" s="118">
        <v>920.91</v>
      </c>
      <c r="E31" s="129">
        <f>D24</f>
        <v>918.92</v>
      </c>
      <c r="F31" s="118"/>
    </row>
    <row r="32" spans="2:6" x14ac:dyDescent="0.25">
      <c r="B32" s="118" t="s">
        <v>30</v>
      </c>
      <c r="C32" s="118" t="s">
        <v>637</v>
      </c>
      <c r="D32" s="129">
        <f>D30-D31</f>
        <v>127.39999999999998</v>
      </c>
      <c r="E32" s="129">
        <f>E30-E31</f>
        <v>452.62494774216123</v>
      </c>
      <c r="F32" s="118" t="s">
        <v>529</v>
      </c>
    </row>
  </sheetData>
  <mergeCells count="3">
    <mergeCell ref="B3:F3"/>
    <mergeCell ref="B19:D19"/>
    <mergeCell ref="B27:F27"/>
  </mergeCells>
  <pageMargins left="0.7" right="0.7" top="0.75" bottom="0.75" header="0.3" footer="0.3"/>
  <pageSetup paperSize="9" scale="75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76"/>
  <sheetViews>
    <sheetView topLeftCell="B57" workbookViewId="0">
      <selection activeCell="D77" sqref="D77"/>
    </sheetView>
  </sheetViews>
  <sheetFormatPr defaultRowHeight="15" x14ac:dyDescent="0.25"/>
  <cols>
    <col min="1" max="2" width="9.140625" style="136"/>
    <col min="3" max="3" width="44.85546875" style="136" customWidth="1"/>
    <col min="4" max="4" width="16.28515625" style="136" customWidth="1"/>
    <col min="5" max="5" width="13.7109375" style="136" customWidth="1"/>
    <col min="6" max="6" width="15" style="136" customWidth="1"/>
    <col min="7" max="16384" width="9.140625" style="136"/>
  </cols>
  <sheetData>
    <row r="2" spans="2:7" x14ac:dyDescent="0.25">
      <c r="B2" s="239" t="s">
        <v>712</v>
      </c>
      <c r="C2" s="239"/>
      <c r="D2" s="239"/>
      <c r="E2" s="239"/>
    </row>
    <row r="4" spans="2:7" x14ac:dyDescent="0.25">
      <c r="B4" s="98" t="s">
        <v>100</v>
      </c>
      <c r="C4" s="98" t="s">
        <v>6</v>
      </c>
      <c r="D4" s="98" t="s">
        <v>713</v>
      </c>
      <c r="E4" s="98" t="s">
        <v>9</v>
      </c>
    </row>
    <row r="5" spans="2:7" x14ac:dyDescent="0.25">
      <c r="B5" s="98" t="s">
        <v>10</v>
      </c>
      <c r="C5" s="98" t="s">
        <v>714</v>
      </c>
      <c r="D5" s="36">
        <f>CCR!D6</f>
        <v>-121.46</v>
      </c>
      <c r="E5" s="98"/>
    </row>
    <row r="6" spans="2:7" x14ac:dyDescent="0.25">
      <c r="B6" s="98" t="s">
        <v>21</v>
      </c>
      <c r="C6" s="98" t="s">
        <v>715</v>
      </c>
      <c r="D6" s="36">
        <f>CCR!D7</f>
        <v>1371.5449477421612</v>
      </c>
      <c r="E6" s="98"/>
    </row>
    <row r="7" spans="2:7" x14ac:dyDescent="0.25">
      <c r="B7" s="98" t="s">
        <v>30</v>
      </c>
      <c r="C7" s="98" t="s">
        <v>716</v>
      </c>
      <c r="D7" s="36">
        <f>'T14'!D22</f>
        <v>918.92</v>
      </c>
      <c r="E7" s="98"/>
    </row>
    <row r="8" spans="2:7" x14ac:dyDescent="0.25">
      <c r="B8" s="98" t="s">
        <v>50</v>
      </c>
      <c r="C8" s="98" t="s">
        <v>717</v>
      </c>
      <c r="D8" s="36">
        <f>D7-D6</f>
        <v>-452.62494774216123</v>
      </c>
      <c r="E8" s="98"/>
    </row>
    <row r="9" spans="2:7" x14ac:dyDescent="0.25">
      <c r="B9" s="98" t="s">
        <v>52</v>
      </c>
      <c r="C9" s="98" t="s">
        <v>718</v>
      </c>
      <c r="D9" s="98"/>
      <c r="E9" s="98"/>
    </row>
    <row r="10" spans="2:7" x14ac:dyDescent="0.25">
      <c r="B10" s="98" t="s">
        <v>54</v>
      </c>
      <c r="C10" s="98" t="s">
        <v>719</v>
      </c>
      <c r="D10" s="36">
        <f>D8+D9+D5</f>
        <v>-574.08494774216126</v>
      </c>
      <c r="E10" s="98"/>
    </row>
    <row r="11" spans="2:7" x14ac:dyDescent="0.25">
      <c r="B11" s="98" t="s">
        <v>58</v>
      </c>
      <c r="C11" s="98" t="s">
        <v>720</v>
      </c>
      <c r="D11" s="35">
        <f>CCR!D12</f>
        <v>0.115</v>
      </c>
      <c r="E11" s="98"/>
    </row>
    <row r="12" spans="2:7" x14ac:dyDescent="0.25">
      <c r="B12" s="98" t="s">
        <v>61</v>
      </c>
      <c r="C12" s="98" t="s">
        <v>721</v>
      </c>
      <c r="D12" s="36">
        <f>D11*D10</f>
        <v>-66.019768990348553</v>
      </c>
      <c r="E12" s="98"/>
    </row>
    <row r="13" spans="2:7" x14ac:dyDescent="0.25">
      <c r="B13" s="98" t="s">
        <v>63</v>
      </c>
      <c r="C13" s="98" t="s">
        <v>722</v>
      </c>
      <c r="D13" s="36">
        <f>D10+D12</f>
        <v>-640.10471673250981</v>
      </c>
      <c r="E13" s="98"/>
    </row>
    <row r="16" spans="2:7" x14ac:dyDescent="0.25">
      <c r="B16" s="239" t="s">
        <v>723</v>
      </c>
      <c r="C16" s="239"/>
      <c r="D16" s="239"/>
      <c r="E16" s="239"/>
      <c r="F16" s="239"/>
      <c r="G16" s="239"/>
    </row>
    <row r="18" spans="2:7" ht="30" x14ac:dyDescent="0.25">
      <c r="B18" s="135" t="s">
        <v>5</v>
      </c>
      <c r="C18" s="135" t="s">
        <v>32</v>
      </c>
      <c r="D18" s="98" t="s">
        <v>97</v>
      </c>
      <c r="E18" s="98" t="s">
        <v>98</v>
      </c>
      <c r="F18" s="98" t="s">
        <v>724</v>
      </c>
      <c r="G18" s="98" t="s">
        <v>9</v>
      </c>
    </row>
    <row r="19" spans="2:7" x14ac:dyDescent="0.25">
      <c r="B19" s="98"/>
      <c r="C19" s="98"/>
      <c r="D19" s="98"/>
      <c r="E19" s="98"/>
      <c r="F19" s="98"/>
      <c r="G19" s="98"/>
    </row>
    <row r="20" spans="2:7" x14ac:dyDescent="0.25">
      <c r="B20" s="135" t="s">
        <v>10</v>
      </c>
      <c r="C20" s="135" t="s">
        <v>40</v>
      </c>
      <c r="D20" s="98"/>
      <c r="E20" s="98"/>
      <c r="F20" s="36">
        <f>'Estd Revenue FY''15-16'!I6</f>
        <v>128.20553487574054</v>
      </c>
      <c r="G20" s="98"/>
    </row>
    <row r="21" spans="2:7" x14ac:dyDescent="0.25">
      <c r="B21" s="98" t="s">
        <v>12</v>
      </c>
      <c r="C21" s="98" t="s">
        <v>41</v>
      </c>
      <c r="D21" s="98"/>
      <c r="E21" s="98"/>
      <c r="F21" s="36"/>
      <c r="G21" s="98"/>
    </row>
    <row r="22" spans="2:7" x14ac:dyDescent="0.25">
      <c r="B22" s="98" t="s">
        <v>15</v>
      </c>
      <c r="C22" s="98" t="s">
        <v>42</v>
      </c>
      <c r="D22" s="98"/>
      <c r="E22" s="98"/>
      <c r="F22" s="36"/>
      <c r="G22" s="98"/>
    </row>
    <row r="23" spans="2:7" x14ac:dyDescent="0.25">
      <c r="B23" s="98"/>
      <c r="C23" s="98"/>
      <c r="D23" s="98"/>
      <c r="E23" s="98"/>
      <c r="F23" s="36"/>
      <c r="G23" s="98"/>
    </row>
    <row r="24" spans="2:7" x14ac:dyDescent="0.25">
      <c r="B24" s="135" t="s">
        <v>21</v>
      </c>
      <c r="C24" s="135" t="s">
        <v>43</v>
      </c>
      <c r="D24" s="98"/>
      <c r="E24" s="98"/>
      <c r="F24" s="36">
        <f>'Estd Revenue FY''15-16'!I10</f>
        <v>816.9077457819119</v>
      </c>
      <c r="G24" s="98"/>
    </row>
    <row r="25" spans="2:7" x14ac:dyDescent="0.25">
      <c r="B25" s="98" t="s">
        <v>12</v>
      </c>
      <c r="C25" s="98" t="s">
        <v>44</v>
      </c>
      <c r="D25" s="98"/>
      <c r="E25" s="98"/>
      <c r="F25" s="36"/>
      <c r="G25" s="98"/>
    </row>
    <row r="26" spans="2:7" x14ac:dyDescent="0.25">
      <c r="B26" s="98" t="s">
        <v>15</v>
      </c>
      <c r="C26" s="98" t="s">
        <v>45</v>
      </c>
      <c r="D26" s="98"/>
      <c r="E26" s="98"/>
      <c r="F26" s="36"/>
      <c r="G26" s="98"/>
    </row>
    <row r="27" spans="2:7" x14ac:dyDescent="0.25">
      <c r="B27" s="98"/>
      <c r="C27" s="98"/>
      <c r="D27" s="98"/>
      <c r="E27" s="98"/>
      <c r="F27" s="36"/>
      <c r="G27" s="98"/>
    </row>
    <row r="28" spans="2:7" x14ac:dyDescent="0.25">
      <c r="B28" s="135" t="s">
        <v>30</v>
      </c>
      <c r="C28" s="135" t="s">
        <v>46</v>
      </c>
      <c r="D28" s="98"/>
      <c r="E28" s="98"/>
      <c r="F28" s="36">
        <f>'Estd Revenue FY''15-16'!I14</f>
        <v>0.1129708659588096</v>
      </c>
      <c r="G28" s="98"/>
    </row>
    <row r="29" spans="2:7" ht="30" x14ac:dyDescent="0.25">
      <c r="B29" s="98" t="s">
        <v>12</v>
      </c>
      <c r="C29" s="98" t="s">
        <v>47</v>
      </c>
      <c r="D29" s="98"/>
      <c r="E29" s="98"/>
      <c r="F29" s="36"/>
      <c r="G29" s="98"/>
    </row>
    <row r="30" spans="2:7" ht="30" x14ac:dyDescent="0.25">
      <c r="B30" s="98" t="s">
        <v>15</v>
      </c>
      <c r="C30" s="98" t="s">
        <v>48</v>
      </c>
      <c r="D30" s="98"/>
      <c r="E30" s="98"/>
      <c r="F30" s="36"/>
      <c r="G30" s="98"/>
    </row>
    <row r="31" spans="2:7" ht="30" x14ac:dyDescent="0.25">
      <c r="B31" s="98" t="s">
        <v>18</v>
      </c>
      <c r="C31" s="98" t="s">
        <v>49</v>
      </c>
      <c r="D31" s="98"/>
      <c r="E31" s="98"/>
      <c r="F31" s="36"/>
      <c r="G31" s="98"/>
    </row>
    <row r="32" spans="2:7" x14ac:dyDescent="0.25">
      <c r="B32" s="98"/>
      <c r="C32" s="98"/>
      <c r="D32" s="98"/>
      <c r="E32" s="98"/>
      <c r="F32" s="36"/>
      <c r="G32" s="98"/>
    </row>
    <row r="33" spans="2:7" x14ac:dyDescent="0.25">
      <c r="B33" s="4" t="s">
        <v>50</v>
      </c>
      <c r="C33" s="4" t="s">
        <v>51</v>
      </c>
      <c r="D33" s="98"/>
      <c r="E33" s="98"/>
      <c r="F33" s="36"/>
      <c r="G33" s="98"/>
    </row>
    <row r="34" spans="2:7" x14ac:dyDescent="0.25">
      <c r="B34" s="4"/>
      <c r="C34" s="4"/>
      <c r="D34" s="98"/>
      <c r="E34" s="98"/>
      <c r="F34" s="36"/>
      <c r="G34" s="98"/>
    </row>
    <row r="35" spans="2:7" x14ac:dyDescent="0.25">
      <c r="B35" s="98" t="s">
        <v>52</v>
      </c>
      <c r="C35" s="98" t="s">
        <v>53</v>
      </c>
      <c r="D35" s="98"/>
      <c r="E35" s="98"/>
      <c r="F35" s="36"/>
      <c r="G35" s="98"/>
    </row>
    <row r="36" spans="2:7" x14ac:dyDescent="0.25">
      <c r="B36" s="98"/>
      <c r="C36" s="98"/>
      <c r="D36" s="98"/>
      <c r="E36" s="98"/>
      <c r="F36" s="36"/>
      <c r="G36" s="98"/>
    </row>
    <row r="37" spans="2:7" x14ac:dyDescent="0.25">
      <c r="B37" s="98" t="s">
        <v>54</v>
      </c>
      <c r="C37" s="98" t="s">
        <v>55</v>
      </c>
      <c r="D37" s="98"/>
      <c r="E37" s="98"/>
      <c r="F37" s="36">
        <f>'Estd Revenue FY''15-16'!I23</f>
        <v>6.1676695602201921</v>
      </c>
      <c r="G37" s="98"/>
    </row>
    <row r="38" spans="2:7" x14ac:dyDescent="0.25">
      <c r="B38" s="98" t="s">
        <v>12</v>
      </c>
      <c r="C38" s="98" t="s">
        <v>56</v>
      </c>
      <c r="D38" s="98"/>
      <c r="E38" s="98"/>
      <c r="F38" s="36"/>
      <c r="G38" s="98"/>
    </row>
    <row r="39" spans="2:7" x14ac:dyDescent="0.25">
      <c r="B39" s="98" t="s">
        <v>15</v>
      </c>
      <c r="C39" s="98" t="s">
        <v>57</v>
      </c>
      <c r="D39" s="98"/>
      <c r="E39" s="98"/>
      <c r="F39" s="36"/>
      <c r="G39" s="98"/>
    </row>
    <row r="40" spans="2:7" x14ac:dyDescent="0.25">
      <c r="B40" s="98"/>
      <c r="C40" s="98"/>
      <c r="D40" s="98"/>
      <c r="E40" s="98"/>
      <c r="F40" s="36"/>
      <c r="G40" s="98"/>
    </row>
    <row r="41" spans="2:7" x14ac:dyDescent="0.25">
      <c r="B41" s="98" t="s">
        <v>58</v>
      </c>
      <c r="C41" s="98" t="s">
        <v>74</v>
      </c>
      <c r="D41" s="98"/>
      <c r="E41" s="98"/>
      <c r="F41" s="36"/>
      <c r="G41" s="98"/>
    </row>
    <row r="42" spans="2:7" x14ac:dyDescent="0.25">
      <c r="B42" s="98" t="s">
        <v>12</v>
      </c>
      <c r="C42" s="98" t="s">
        <v>59</v>
      </c>
      <c r="D42" s="98"/>
      <c r="E42" s="98"/>
      <c r="F42" s="36"/>
      <c r="G42" s="98"/>
    </row>
    <row r="43" spans="2:7" x14ac:dyDescent="0.25">
      <c r="B43" s="98" t="s">
        <v>15</v>
      </c>
      <c r="C43" s="98" t="s">
        <v>60</v>
      </c>
      <c r="D43" s="98"/>
      <c r="E43" s="98"/>
      <c r="F43" s="36"/>
      <c r="G43" s="98"/>
    </row>
    <row r="44" spans="2:7" x14ac:dyDescent="0.25">
      <c r="B44" s="98"/>
      <c r="C44" s="98"/>
      <c r="D44" s="98"/>
      <c r="E44" s="98"/>
      <c r="F44" s="36"/>
      <c r="G44" s="98"/>
    </row>
    <row r="45" spans="2:7" x14ac:dyDescent="0.25">
      <c r="B45" s="98" t="s">
        <v>61</v>
      </c>
      <c r="C45" s="98" t="s">
        <v>62</v>
      </c>
      <c r="D45" s="98"/>
      <c r="E45" s="98"/>
      <c r="F45" s="36"/>
      <c r="G45" s="98"/>
    </row>
    <row r="46" spans="2:7" x14ac:dyDescent="0.25">
      <c r="B46" s="98"/>
      <c r="C46" s="98"/>
      <c r="D46" s="98"/>
      <c r="E46" s="98"/>
      <c r="F46" s="36"/>
      <c r="G46" s="98"/>
    </row>
    <row r="47" spans="2:7" x14ac:dyDescent="0.25">
      <c r="B47" s="98" t="s">
        <v>63</v>
      </c>
      <c r="C47" s="98" t="s">
        <v>64</v>
      </c>
      <c r="D47" s="98"/>
      <c r="E47" s="98"/>
      <c r="F47" s="36"/>
      <c r="G47" s="98"/>
    </row>
    <row r="48" spans="2:7" x14ac:dyDescent="0.25">
      <c r="B48" s="98"/>
      <c r="C48" s="98"/>
      <c r="D48" s="98"/>
      <c r="E48" s="98"/>
      <c r="F48" s="36"/>
      <c r="G48" s="98"/>
    </row>
    <row r="49" spans="2:7" x14ac:dyDescent="0.25">
      <c r="B49" s="98" t="s">
        <v>65</v>
      </c>
      <c r="C49" s="98" t="s">
        <v>66</v>
      </c>
      <c r="D49" s="98"/>
      <c r="E49" s="98"/>
      <c r="F49" s="36">
        <f>'Estd Revenue FY''15-16'!I35</f>
        <v>23.663980126966607</v>
      </c>
      <c r="G49" s="98"/>
    </row>
    <row r="50" spans="2:7" x14ac:dyDescent="0.25">
      <c r="B50" s="98"/>
      <c r="C50" s="98"/>
      <c r="D50" s="98"/>
      <c r="E50" s="98"/>
      <c r="F50" s="36"/>
      <c r="G50" s="98"/>
    </row>
    <row r="51" spans="2:7" x14ac:dyDescent="0.25">
      <c r="B51" s="98" t="s">
        <v>67</v>
      </c>
      <c r="C51" s="98" t="s">
        <v>68</v>
      </c>
      <c r="D51" s="98"/>
      <c r="E51" s="98"/>
      <c r="F51" s="36"/>
      <c r="G51" s="98"/>
    </row>
    <row r="52" spans="2:7" x14ac:dyDescent="0.25">
      <c r="B52" s="98"/>
      <c r="C52" s="98"/>
      <c r="D52" s="98"/>
      <c r="E52" s="98"/>
      <c r="F52" s="36"/>
      <c r="G52" s="98"/>
    </row>
    <row r="53" spans="2:7" x14ac:dyDescent="0.25">
      <c r="B53" s="98" t="s">
        <v>69</v>
      </c>
      <c r="C53" s="98" t="s">
        <v>70</v>
      </c>
      <c r="D53" s="98"/>
      <c r="E53" s="98"/>
      <c r="F53" s="36"/>
      <c r="G53" s="98"/>
    </row>
    <row r="54" spans="2:7" x14ac:dyDescent="0.25">
      <c r="B54" s="98"/>
      <c r="C54" s="98"/>
      <c r="D54" s="98"/>
      <c r="E54" s="98"/>
      <c r="F54" s="36"/>
      <c r="G54" s="98"/>
    </row>
    <row r="55" spans="2:7" x14ac:dyDescent="0.25">
      <c r="B55" s="98" t="s">
        <v>71</v>
      </c>
      <c r="C55" s="98" t="s">
        <v>72</v>
      </c>
      <c r="D55" s="98"/>
      <c r="E55" s="98"/>
      <c r="F55" s="36">
        <f>'Estd Revenue FY''15-16'!I41</f>
        <v>2.9070327900085164</v>
      </c>
      <c r="G55" s="98"/>
    </row>
    <row r="56" spans="2:7" x14ac:dyDescent="0.25">
      <c r="B56" s="98"/>
      <c r="C56" s="135" t="s">
        <v>73</v>
      </c>
      <c r="D56" s="98"/>
      <c r="E56" s="98"/>
      <c r="F56" s="36">
        <f>'Estd Revenue FY''15-16'!I42</f>
        <v>977.96493400080669</v>
      </c>
      <c r="G56" s="98"/>
    </row>
    <row r="59" spans="2:7" ht="15" customHeight="1" x14ac:dyDescent="0.25">
      <c r="B59" s="239" t="s">
        <v>1030</v>
      </c>
      <c r="C59" s="239"/>
      <c r="D59" s="239"/>
      <c r="E59" s="239"/>
      <c r="F59" s="239"/>
    </row>
    <row r="61" spans="2:7" x14ac:dyDescent="0.25">
      <c r="B61" s="135" t="s">
        <v>100</v>
      </c>
      <c r="C61" s="135" t="s">
        <v>6</v>
      </c>
      <c r="D61" s="135" t="s">
        <v>726</v>
      </c>
      <c r="E61" s="135" t="s">
        <v>9</v>
      </c>
      <c r="F61" s="164" t="s">
        <v>830</v>
      </c>
    </row>
    <row r="62" spans="2:7" ht="30" x14ac:dyDescent="0.25">
      <c r="B62" s="98" t="s">
        <v>10</v>
      </c>
      <c r="C62" s="98" t="s">
        <v>727</v>
      </c>
      <c r="D62" s="36">
        <f>CCR!D17</f>
        <v>1252.9749256849873</v>
      </c>
      <c r="E62" s="98"/>
      <c r="F62" s="36">
        <f>ARR!F18</f>
        <v>1228.2472455764323</v>
      </c>
    </row>
    <row r="63" spans="2:7" x14ac:dyDescent="0.25">
      <c r="B63" s="98" t="s">
        <v>21</v>
      </c>
      <c r="C63" s="98" t="s">
        <v>724</v>
      </c>
      <c r="D63" s="36">
        <f>F56</f>
        <v>977.96493400080669</v>
      </c>
      <c r="E63" s="98"/>
      <c r="F63" s="36">
        <f>'Estd Revenue FY''15-16'!F42</f>
        <v>946.78949977363845</v>
      </c>
    </row>
    <row r="64" spans="2:7" x14ac:dyDescent="0.25">
      <c r="B64" s="98" t="s">
        <v>30</v>
      </c>
      <c r="C64" s="98" t="s">
        <v>728</v>
      </c>
      <c r="D64" s="36">
        <f>D63-D62</f>
        <v>-275.00999168418059</v>
      </c>
      <c r="E64" s="98"/>
      <c r="F64" s="36">
        <f>F63-F62</f>
        <v>-281.45774580279385</v>
      </c>
    </row>
    <row r="67" spans="2:5" ht="17.25" customHeight="1" x14ac:dyDescent="0.25">
      <c r="B67" s="239" t="s">
        <v>729</v>
      </c>
      <c r="C67" s="239"/>
      <c r="D67" s="239"/>
      <c r="E67" s="239"/>
    </row>
    <row r="69" spans="2:5" x14ac:dyDescent="0.25">
      <c r="B69" s="135" t="s">
        <v>100</v>
      </c>
      <c r="C69" s="135" t="s">
        <v>6</v>
      </c>
      <c r="D69" s="135" t="s">
        <v>228</v>
      </c>
      <c r="E69" s="135" t="s">
        <v>9</v>
      </c>
    </row>
    <row r="70" spans="2:5" x14ac:dyDescent="0.25">
      <c r="B70" s="98" t="s">
        <v>10</v>
      </c>
      <c r="C70" s="98" t="s">
        <v>730</v>
      </c>
      <c r="D70" s="36">
        <f>D64</f>
        <v>-275.00999168418059</v>
      </c>
      <c r="E70" s="98"/>
    </row>
    <row r="71" spans="2:5" x14ac:dyDescent="0.25">
      <c r="B71" s="98" t="s">
        <v>21</v>
      </c>
      <c r="C71" s="98" t="s">
        <v>731</v>
      </c>
      <c r="D71" s="98"/>
      <c r="E71" s="98"/>
    </row>
    <row r="72" spans="2:5" x14ac:dyDescent="0.25">
      <c r="B72" s="98" t="s">
        <v>12</v>
      </c>
      <c r="C72" s="98" t="s">
        <v>732</v>
      </c>
      <c r="D72" s="98"/>
      <c r="E72" s="98"/>
    </row>
    <row r="73" spans="2:5" x14ac:dyDescent="0.25">
      <c r="B73" s="98" t="s">
        <v>15</v>
      </c>
      <c r="C73" s="98" t="s">
        <v>733</v>
      </c>
      <c r="D73" s="98"/>
      <c r="E73" s="98"/>
    </row>
    <row r="74" spans="2:5" x14ac:dyDescent="0.25">
      <c r="B74" s="98" t="s">
        <v>18</v>
      </c>
      <c r="C74" s="98" t="s">
        <v>734</v>
      </c>
      <c r="D74" s="98"/>
      <c r="E74" s="98"/>
    </row>
    <row r="75" spans="2:5" ht="30" x14ac:dyDescent="0.25">
      <c r="B75" s="98" t="s">
        <v>30</v>
      </c>
      <c r="C75" s="98" t="s">
        <v>735</v>
      </c>
      <c r="D75" s="98"/>
      <c r="E75" s="98"/>
    </row>
    <row r="76" spans="2:5" x14ac:dyDescent="0.25">
      <c r="B76" s="98" t="s">
        <v>50</v>
      </c>
      <c r="C76" s="98" t="s">
        <v>736</v>
      </c>
      <c r="D76" s="37">
        <f>-D70/D63</f>
        <v>0.28120639311588419</v>
      </c>
      <c r="E76" s="98"/>
    </row>
  </sheetData>
  <mergeCells count="4">
    <mergeCell ref="B2:E2"/>
    <mergeCell ref="B16:G16"/>
    <mergeCell ref="B67:E67"/>
    <mergeCell ref="B59:F59"/>
  </mergeCells>
  <pageMargins left="0.7" right="0.7" top="0.75" bottom="0.75" header="0.3" footer="0.3"/>
  <pageSetup paperSize="9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90"/>
  <sheetViews>
    <sheetView workbookViewId="0">
      <selection activeCell="N14" sqref="N14"/>
    </sheetView>
  </sheetViews>
  <sheetFormatPr defaultRowHeight="15" x14ac:dyDescent="0.25"/>
  <cols>
    <col min="3" max="3" width="28.42578125" customWidth="1"/>
    <col min="5" max="5" width="19.28515625" customWidth="1"/>
  </cols>
  <sheetData>
    <row r="2" spans="2:5" x14ac:dyDescent="0.25">
      <c r="B2" s="275" t="s">
        <v>737</v>
      </c>
      <c r="C2" s="275"/>
      <c r="D2" s="275"/>
      <c r="E2" s="275"/>
    </row>
    <row r="4" spans="2:5" x14ac:dyDescent="0.25">
      <c r="B4" s="53" t="s">
        <v>5</v>
      </c>
      <c r="C4" s="53" t="s">
        <v>6</v>
      </c>
      <c r="D4" s="53" t="s">
        <v>14</v>
      </c>
      <c r="E4" s="53" t="s">
        <v>9</v>
      </c>
    </row>
    <row r="5" spans="2:5" x14ac:dyDescent="0.25">
      <c r="B5" s="51" t="s">
        <v>10</v>
      </c>
      <c r="C5" s="51" t="s">
        <v>738</v>
      </c>
      <c r="D5" s="51"/>
      <c r="E5" s="51"/>
    </row>
    <row r="6" spans="2:5" x14ac:dyDescent="0.25">
      <c r="B6" s="51" t="s">
        <v>21</v>
      </c>
      <c r="C6" s="51" t="s">
        <v>739</v>
      </c>
      <c r="D6" s="51"/>
      <c r="E6" s="51"/>
    </row>
    <row r="7" spans="2:5" x14ac:dyDescent="0.25">
      <c r="B7" s="51" t="s">
        <v>30</v>
      </c>
      <c r="C7" s="51" t="s">
        <v>740</v>
      </c>
      <c r="D7" s="51"/>
      <c r="E7" s="51"/>
    </row>
    <row r="8" spans="2:5" x14ac:dyDescent="0.25">
      <c r="B8" s="51" t="s">
        <v>50</v>
      </c>
      <c r="C8" s="51" t="s">
        <v>741</v>
      </c>
      <c r="D8" s="51"/>
      <c r="E8" s="51"/>
    </row>
    <row r="9" spans="2:5" x14ac:dyDescent="0.25">
      <c r="B9" s="51" t="s">
        <v>52</v>
      </c>
      <c r="C9" s="51" t="s">
        <v>742</v>
      </c>
      <c r="D9" s="51"/>
      <c r="E9" s="51"/>
    </row>
    <row r="10" spans="2:5" x14ac:dyDescent="0.25">
      <c r="B10" s="51"/>
      <c r="C10" s="51" t="s">
        <v>73</v>
      </c>
      <c r="D10" s="51"/>
      <c r="E10" s="51"/>
    </row>
    <row r="12" spans="2:5" x14ac:dyDescent="0.25">
      <c r="B12" s="275" t="s">
        <v>743</v>
      </c>
      <c r="C12" s="275"/>
      <c r="D12" s="275"/>
      <c r="E12" s="275"/>
    </row>
    <row r="14" spans="2:5" x14ac:dyDescent="0.25">
      <c r="B14" s="53" t="s">
        <v>5</v>
      </c>
      <c r="C14" s="53" t="s">
        <v>6</v>
      </c>
      <c r="D14" s="53" t="s">
        <v>14</v>
      </c>
      <c r="E14" s="53" t="s">
        <v>9</v>
      </c>
    </row>
    <row r="15" spans="2:5" x14ac:dyDescent="0.25">
      <c r="B15" s="51" t="s">
        <v>10</v>
      </c>
      <c r="C15" s="51" t="s">
        <v>738</v>
      </c>
      <c r="D15" s="51"/>
      <c r="E15" s="51"/>
    </row>
    <row r="16" spans="2:5" x14ac:dyDescent="0.25">
      <c r="B16" s="51" t="s">
        <v>21</v>
      </c>
      <c r="C16" s="51" t="s">
        <v>739</v>
      </c>
      <c r="D16" s="51"/>
      <c r="E16" s="51"/>
    </row>
    <row r="17" spans="2:5" x14ac:dyDescent="0.25">
      <c r="B17" s="51" t="s">
        <v>30</v>
      </c>
      <c r="C17" s="51" t="s">
        <v>740</v>
      </c>
      <c r="D17" s="51"/>
      <c r="E17" s="51"/>
    </row>
    <row r="18" spans="2:5" x14ac:dyDescent="0.25">
      <c r="B18" s="51" t="s">
        <v>50</v>
      </c>
      <c r="C18" s="51" t="s">
        <v>741</v>
      </c>
      <c r="D18" s="51"/>
      <c r="E18" s="51"/>
    </row>
    <row r="19" spans="2:5" x14ac:dyDescent="0.25">
      <c r="B19" s="51" t="s">
        <v>52</v>
      </c>
      <c r="C19" s="51" t="s">
        <v>742</v>
      </c>
      <c r="D19" s="51"/>
      <c r="E19" s="51"/>
    </row>
    <row r="20" spans="2:5" x14ac:dyDescent="0.25">
      <c r="B20" s="51"/>
      <c r="C20" s="51" t="s">
        <v>73</v>
      </c>
      <c r="D20" s="51"/>
      <c r="E20" s="51"/>
    </row>
    <row r="22" spans="2:5" x14ac:dyDescent="0.25">
      <c r="B22" s="275" t="s">
        <v>744</v>
      </c>
      <c r="C22" s="275"/>
      <c r="D22" s="275"/>
      <c r="E22" s="275"/>
    </row>
    <row r="24" spans="2:5" x14ac:dyDescent="0.25">
      <c r="B24" s="53" t="s">
        <v>5</v>
      </c>
      <c r="C24" s="53" t="s">
        <v>6</v>
      </c>
      <c r="D24" s="53" t="s">
        <v>14</v>
      </c>
      <c r="E24" s="53" t="s">
        <v>9</v>
      </c>
    </row>
    <row r="25" spans="2:5" x14ac:dyDescent="0.25">
      <c r="B25" s="51" t="s">
        <v>10</v>
      </c>
      <c r="C25" s="51" t="s">
        <v>738</v>
      </c>
      <c r="D25" s="51"/>
      <c r="E25" s="51"/>
    </row>
    <row r="26" spans="2:5" x14ac:dyDescent="0.25">
      <c r="B26" s="51" t="s">
        <v>21</v>
      </c>
      <c r="C26" s="51" t="s">
        <v>739</v>
      </c>
      <c r="D26" s="51"/>
      <c r="E26" s="51"/>
    </row>
    <row r="27" spans="2:5" x14ac:dyDescent="0.25">
      <c r="B27" s="51" t="s">
        <v>30</v>
      </c>
      <c r="C27" s="51" t="s">
        <v>740</v>
      </c>
      <c r="D27" s="51"/>
      <c r="E27" s="51"/>
    </row>
    <row r="28" spans="2:5" x14ac:dyDescent="0.25">
      <c r="B28" s="51" t="s">
        <v>50</v>
      </c>
      <c r="C28" s="51" t="s">
        <v>741</v>
      </c>
      <c r="D28" s="51"/>
      <c r="E28" s="51"/>
    </row>
    <row r="29" spans="2:5" x14ac:dyDescent="0.25">
      <c r="B29" s="51" t="s">
        <v>52</v>
      </c>
      <c r="C29" s="51" t="s">
        <v>742</v>
      </c>
      <c r="D29" s="51"/>
      <c r="E29" s="51"/>
    </row>
    <row r="30" spans="2:5" x14ac:dyDescent="0.25">
      <c r="B30" s="51"/>
      <c r="C30" s="51" t="s">
        <v>73</v>
      </c>
      <c r="D30" s="51"/>
      <c r="E30" s="51"/>
    </row>
    <row r="32" spans="2:5" x14ac:dyDescent="0.25">
      <c r="B32" s="275" t="s">
        <v>745</v>
      </c>
      <c r="C32" s="275"/>
      <c r="D32" s="275"/>
      <c r="E32" s="275"/>
    </row>
    <row r="34" spans="2:5" x14ac:dyDescent="0.25">
      <c r="B34" s="53" t="s">
        <v>5</v>
      </c>
      <c r="C34" s="53" t="s">
        <v>6</v>
      </c>
      <c r="D34" s="53" t="s">
        <v>14</v>
      </c>
      <c r="E34" s="53" t="s">
        <v>9</v>
      </c>
    </row>
    <row r="35" spans="2:5" x14ac:dyDescent="0.25">
      <c r="B35" s="51" t="s">
        <v>10</v>
      </c>
      <c r="C35" s="51" t="s">
        <v>738</v>
      </c>
      <c r="D35" s="51"/>
      <c r="E35" s="51"/>
    </row>
    <row r="36" spans="2:5" x14ac:dyDescent="0.25">
      <c r="B36" s="51" t="s">
        <v>21</v>
      </c>
      <c r="C36" s="51" t="s">
        <v>739</v>
      </c>
      <c r="D36" s="51"/>
      <c r="E36" s="51"/>
    </row>
    <row r="37" spans="2:5" x14ac:dyDescent="0.25">
      <c r="B37" s="51" t="s">
        <v>30</v>
      </c>
      <c r="C37" s="51" t="s">
        <v>740</v>
      </c>
      <c r="D37" s="51"/>
      <c r="E37" s="51"/>
    </row>
    <row r="38" spans="2:5" x14ac:dyDescent="0.25">
      <c r="B38" s="51" t="s">
        <v>50</v>
      </c>
      <c r="C38" s="51" t="s">
        <v>741</v>
      </c>
      <c r="D38" s="51"/>
      <c r="E38" s="51"/>
    </row>
    <row r="39" spans="2:5" x14ac:dyDescent="0.25">
      <c r="B39" s="51" t="s">
        <v>52</v>
      </c>
      <c r="C39" s="51" t="s">
        <v>742</v>
      </c>
      <c r="D39" s="51"/>
      <c r="E39" s="51"/>
    </row>
    <row r="40" spans="2:5" x14ac:dyDescent="0.25">
      <c r="B40" s="51"/>
      <c r="C40" s="51" t="s">
        <v>73</v>
      </c>
      <c r="D40" s="51"/>
      <c r="E40" s="51"/>
    </row>
    <row r="42" spans="2:5" x14ac:dyDescent="0.25">
      <c r="B42" s="275" t="s">
        <v>746</v>
      </c>
      <c r="C42" s="275"/>
      <c r="D42" s="275"/>
      <c r="E42" s="275"/>
    </row>
    <row r="44" spans="2:5" x14ac:dyDescent="0.25">
      <c r="B44" s="53" t="s">
        <v>5</v>
      </c>
      <c r="C44" s="53" t="s">
        <v>6</v>
      </c>
      <c r="D44" s="53" t="s">
        <v>14</v>
      </c>
      <c r="E44" s="53" t="s">
        <v>9</v>
      </c>
    </row>
    <row r="45" spans="2:5" x14ac:dyDescent="0.25">
      <c r="B45" s="51" t="s">
        <v>10</v>
      </c>
      <c r="C45" s="51" t="s">
        <v>738</v>
      </c>
      <c r="D45" s="51"/>
      <c r="E45" s="51"/>
    </row>
    <row r="46" spans="2:5" x14ac:dyDescent="0.25">
      <c r="B46" s="51" t="s">
        <v>21</v>
      </c>
      <c r="C46" s="51" t="s">
        <v>739</v>
      </c>
      <c r="D46" s="51"/>
      <c r="E46" s="51"/>
    </row>
    <row r="47" spans="2:5" x14ac:dyDescent="0.25">
      <c r="B47" s="51" t="s">
        <v>30</v>
      </c>
      <c r="C47" s="51" t="s">
        <v>740</v>
      </c>
      <c r="D47" s="51"/>
      <c r="E47" s="51"/>
    </row>
    <row r="48" spans="2:5" x14ac:dyDescent="0.25">
      <c r="B48" s="51" t="s">
        <v>50</v>
      </c>
      <c r="C48" s="51" t="s">
        <v>741</v>
      </c>
      <c r="D48" s="51"/>
      <c r="E48" s="51"/>
    </row>
    <row r="49" spans="2:5" x14ac:dyDescent="0.25">
      <c r="B49" s="51" t="s">
        <v>52</v>
      </c>
      <c r="C49" s="51" t="s">
        <v>742</v>
      </c>
      <c r="D49" s="51"/>
      <c r="E49" s="51"/>
    </row>
    <row r="50" spans="2:5" x14ac:dyDescent="0.25">
      <c r="B50" s="51"/>
      <c r="C50" s="51" t="s">
        <v>73</v>
      </c>
      <c r="D50" s="51"/>
      <c r="E50" s="51"/>
    </row>
    <row r="52" spans="2:5" x14ac:dyDescent="0.25">
      <c r="B52" s="275" t="s">
        <v>747</v>
      </c>
      <c r="C52" s="275"/>
      <c r="D52" s="275"/>
      <c r="E52" s="275"/>
    </row>
    <row r="54" spans="2:5" x14ac:dyDescent="0.25">
      <c r="B54" s="53" t="s">
        <v>5</v>
      </c>
      <c r="C54" s="53" t="s">
        <v>6</v>
      </c>
      <c r="D54" s="53" t="s">
        <v>14</v>
      </c>
      <c r="E54" s="53" t="s">
        <v>9</v>
      </c>
    </row>
    <row r="55" spans="2:5" x14ac:dyDescent="0.25">
      <c r="B55" s="51" t="s">
        <v>10</v>
      </c>
      <c r="C55" s="51" t="s">
        <v>738</v>
      </c>
      <c r="D55" s="51"/>
      <c r="E55" s="51"/>
    </row>
    <row r="56" spans="2:5" x14ac:dyDescent="0.25">
      <c r="B56" s="51" t="s">
        <v>21</v>
      </c>
      <c r="C56" s="51" t="s">
        <v>739</v>
      </c>
      <c r="D56" s="51"/>
      <c r="E56" s="51"/>
    </row>
    <row r="57" spans="2:5" x14ac:dyDescent="0.25">
      <c r="B57" s="51" t="s">
        <v>30</v>
      </c>
      <c r="C57" s="51" t="s">
        <v>740</v>
      </c>
      <c r="D57" s="51"/>
      <c r="E57" s="51"/>
    </row>
    <row r="58" spans="2:5" x14ac:dyDescent="0.25">
      <c r="B58" s="51" t="s">
        <v>50</v>
      </c>
      <c r="C58" s="51" t="s">
        <v>741</v>
      </c>
      <c r="D58" s="51"/>
      <c r="E58" s="51"/>
    </row>
    <row r="59" spans="2:5" x14ac:dyDescent="0.25">
      <c r="B59" s="51" t="s">
        <v>52</v>
      </c>
      <c r="C59" s="51" t="s">
        <v>742</v>
      </c>
      <c r="D59" s="51"/>
      <c r="E59" s="51"/>
    </row>
    <row r="60" spans="2:5" x14ac:dyDescent="0.25">
      <c r="B60" s="51"/>
      <c r="C60" s="51" t="s">
        <v>73</v>
      </c>
      <c r="D60" s="51"/>
      <c r="E60" s="51"/>
    </row>
    <row r="62" spans="2:5" x14ac:dyDescent="0.25">
      <c r="B62" s="275" t="s">
        <v>748</v>
      </c>
      <c r="C62" s="275"/>
      <c r="D62" s="275"/>
      <c r="E62" s="275"/>
    </row>
    <row r="64" spans="2:5" x14ac:dyDescent="0.25">
      <c r="B64" s="53" t="s">
        <v>5</v>
      </c>
      <c r="C64" s="53" t="s">
        <v>6</v>
      </c>
      <c r="D64" s="53" t="s">
        <v>14</v>
      </c>
      <c r="E64" s="53" t="s">
        <v>9</v>
      </c>
    </row>
    <row r="65" spans="2:5" x14ac:dyDescent="0.25">
      <c r="B65" s="51" t="s">
        <v>10</v>
      </c>
      <c r="C65" s="51" t="s">
        <v>738</v>
      </c>
      <c r="D65" s="51"/>
      <c r="E65" s="51"/>
    </row>
    <row r="66" spans="2:5" x14ac:dyDescent="0.25">
      <c r="B66" s="51" t="s">
        <v>21</v>
      </c>
      <c r="C66" s="51" t="s">
        <v>739</v>
      </c>
      <c r="D66" s="51"/>
      <c r="E66" s="51"/>
    </row>
    <row r="67" spans="2:5" x14ac:dyDescent="0.25">
      <c r="B67" s="51" t="s">
        <v>30</v>
      </c>
      <c r="C67" s="51" t="s">
        <v>740</v>
      </c>
      <c r="D67" s="51"/>
      <c r="E67" s="51"/>
    </row>
    <row r="68" spans="2:5" x14ac:dyDescent="0.25">
      <c r="B68" s="51" t="s">
        <v>50</v>
      </c>
      <c r="C68" s="51" t="s">
        <v>741</v>
      </c>
      <c r="D68" s="51"/>
      <c r="E68" s="51"/>
    </row>
    <row r="69" spans="2:5" x14ac:dyDescent="0.25">
      <c r="B69" s="51" t="s">
        <v>52</v>
      </c>
      <c r="C69" s="51" t="s">
        <v>742</v>
      </c>
      <c r="D69" s="51"/>
      <c r="E69" s="51"/>
    </row>
    <row r="70" spans="2:5" x14ac:dyDescent="0.25">
      <c r="B70" s="51"/>
      <c r="C70" s="51" t="s">
        <v>73</v>
      </c>
      <c r="D70" s="51"/>
      <c r="E70" s="51"/>
    </row>
    <row r="72" spans="2:5" x14ac:dyDescent="0.25">
      <c r="B72" s="275" t="s">
        <v>749</v>
      </c>
      <c r="C72" s="275"/>
      <c r="D72" s="275"/>
      <c r="E72" s="275"/>
    </row>
    <row r="74" spans="2:5" x14ac:dyDescent="0.25">
      <c r="B74" s="53" t="s">
        <v>5</v>
      </c>
      <c r="C74" s="53" t="s">
        <v>6</v>
      </c>
      <c r="D74" s="53" t="s">
        <v>14</v>
      </c>
      <c r="E74" s="53" t="s">
        <v>9</v>
      </c>
    </row>
    <row r="75" spans="2:5" x14ac:dyDescent="0.25">
      <c r="B75" s="51" t="s">
        <v>10</v>
      </c>
      <c r="C75" s="51" t="s">
        <v>738</v>
      </c>
      <c r="D75" s="51"/>
      <c r="E75" s="51"/>
    </row>
    <row r="76" spans="2:5" x14ac:dyDescent="0.25">
      <c r="B76" s="51" t="s">
        <v>21</v>
      </c>
      <c r="C76" s="51" t="s">
        <v>739</v>
      </c>
      <c r="D76" s="51"/>
      <c r="E76" s="51"/>
    </row>
    <row r="77" spans="2:5" x14ac:dyDescent="0.25">
      <c r="B77" s="51" t="s">
        <v>30</v>
      </c>
      <c r="C77" s="51" t="s">
        <v>740</v>
      </c>
      <c r="D77" s="51"/>
      <c r="E77" s="51"/>
    </row>
    <row r="78" spans="2:5" x14ac:dyDescent="0.25">
      <c r="B78" s="51" t="s">
        <v>50</v>
      </c>
      <c r="C78" s="51" t="s">
        <v>741</v>
      </c>
      <c r="D78" s="51"/>
      <c r="E78" s="51"/>
    </row>
    <row r="79" spans="2:5" x14ac:dyDescent="0.25">
      <c r="B79" s="51" t="s">
        <v>52</v>
      </c>
      <c r="C79" s="51" t="s">
        <v>742</v>
      </c>
      <c r="D79" s="51"/>
      <c r="E79" s="51"/>
    </row>
    <row r="80" spans="2:5" x14ac:dyDescent="0.25">
      <c r="B80" s="51"/>
      <c r="C80" s="51" t="s">
        <v>73</v>
      </c>
      <c r="D80" s="51"/>
      <c r="E80" s="51"/>
    </row>
    <row r="82" spans="2:5" x14ac:dyDescent="0.25">
      <c r="B82" s="275" t="s">
        <v>750</v>
      </c>
      <c r="C82" s="275"/>
      <c r="D82" s="275"/>
      <c r="E82" s="275"/>
    </row>
    <row r="84" spans="2:5" x14ac:dyDescent="0.25">
      <c r="B84" s="53" t="s">
        <v>5</v>
      </c>
      <c r="C84" s="53" t="s">
        <v>6</v>
      </c>
      <c r="D84" s="53" t="s">
        <v>14</v>
      </c>
      <c r="E84" s="53" t="s">
        <v>9</v>
      </c>
    </row>
    <row r="85" spans="2:5" x14ac:dyDescent="0.25">
      <c r="B85" s="51" t="s">
        <v>10</v>
      </c>
      <c r="C85" s="51" t="s">
        <v>738</v>
      </c>
      <c r="D85" s="51"/>
      <c r="E85" s="51"/>
    </row>
    <row r="86" spans="2:5" x14ac:dyDescent="0.25">
      <c r="B86" s="51" t="s">
        <v>21</v>
      </c>
      <c r="C86" s="51" t="s">
        <v>739</v>
      </c>
      <c r="D86" s="51"/>
      <c r="E86" s="51"/>
    </row>
    <row r="87" spans="2:5" x14ac:dyDescent="0.25">
      <c r="B87" s="51" t="s">
        <v>30</v>
      </c>
      <c r="C87" s="51" t="s">
        <v>740</v>
      </c>
      <c r="D87" s="51"/>
      <c r="E87" s="51"/>
    </row>
    <row r="88" spans="2:5" x14ac:dyDescent="0.25">
      <c r="B88" s="51" t="s">
        <v>50</v>
      </c>
      <c r="C88" s="51" t="s">
        <v>741</v>
      </c>
      <c r="D88" s="51"/>
      <c r="E88" s="51"/>
    </row>
    <row r="89" spans="2:5" x14ac:dyDescent="0.25">
      <c r="B89" s="51" t="s">
        <v>52</v>
      </c>
      <c r="C89" s="51" t="s">
        <v>742</v>
      </c>
      <c r="D89" s="51"/>
      <c r="E89" s="51"/>
    </row>
    <row r="90" spans="2:5" x14ac:dyDescent="0.25">
      <c r="B90" s="51"/>
      <c r="C90" s="51" t="s">
        <v>73</v>
      </c>
      <c r="D90" s="51"/>
      <c r="E90" s="51"/>
    </row>
  </sheetData>
  <mergeCells count="9">
    <mergeCell ref="B62:E62"/>
    <mergeCell ref="B72:E72"/>
    <mergeCell ref="B82:E82"/>
    <mergeCell ref="B2:E2"/>
    <mergeCell ref="B12:E12"/>
    <mergeCell ref="B22:E22"/>
    <mergeCell ref="B32:E32"/>
    <mergeCell ref="B42:E42"/>
    <mergeCell ref="B52:E52"/>
  </mergeCell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3"/>
  <sheetViews>
    <sheetView topLeftCell="B1" workbookViewId="0">
      <pane ySplit="4" topLeftCell="A5" activePane="bottomLeft" state="frozen"/>
      <selection pane="bottomLeft" activeCell="J1" sqref="J1"/>
    </sheetView>
  </sheetViews>
  <sheetFormatPr defaultRowHeight="15" x14ac:dyDescent="0.25"/>
  <cols>
    <col min="1" max="2" width="9.140625" style="119"/>
    <col min="3" max="3" width="25.7109375" style="119" customWidth="1"/>
    <col min="4" max="5" width="18.140625" style="119" customWidth="1"/>
    <col min="6" max="6" width="14.7109375" style="119" customWidth="1"/>
    <col min="7" max="7" width="22.5703125" style="119" customWidth="1"/>
    <col min="8" max="8" width="21.140625" style="119" customWidth="1"/>
    <col min="9" max="16384" width="9.140625" style="119"/>
  </cols>
  <sheetData>
    <row r="2" spans="2:9" x14ac:dyDescent="0.25">
      <c r="B2" s="256" t="s">
        <v>759</v>
      </c>
      <c r="C2" s="256"/>
      <c r="D2" s="256"/>
      <c r="E2" s="256"/>
      <c r="F2" s="256"/>
      <c r="G2" s="256"/>
      <c r="H2" s="256"/>
      <c r="I2" s="256"/>
    </row>
    <row r="4" spans="2:9" ht="30" x14ac:dyDescent="0.25">
      <c r="B4" s="135" t="s">
        <v>5</v>
      </c>
      <c r="C4" s="135" t="s">
        <v>32</v>
      </c>
      <c r="D4" s="135" t="s">
        <v>754</v>
      </c>
      <c r="E4" s="135" t="s">
        <v>888</v>
      </c>
      <c r="F4" s="135" t="s">
        <v>755</v>
      </c>
      <c r="G4" s="135" t="s">
        <v>756</v>
      </c>
      <c r="H4" s="135" t="s">
        <v>757</v>
      </c>
      <c r="I4" s="135" t="s">
        <v>9</v>
      </c>
    </row>
    <row r="5" spans="2:9" x14ac:dyDescent="0.25">
      <c r="B5" s="98"/>
      <c r="C5" s="98"/>
      <c r="D5" s="135" t="s">
        <v>211</v>
      </c>
      <c r="E5" s="135"/>
      <c r="F5" s="135" t="s">
        <v>17</v>
      </c>
      <c r="G5" s="135" t="s">
        <v>211</v>
      </c>
      <c r="H5" s="135" t="s">
        <v>758</v>
      </c>
      <c r="I5" s="135"/>
    </row>
    <row r="6" spans="2:9" x14ac:dyDescent="0.25">
      <c r="B6" s="135" t="s">
        <v>10</v>
      </c>
      <c r="C6" s="135" t="s">
        <v>40</v>
      </c>
      <c r="D6" s="129">
        <f>'Estd Revenue FY''15-16'!I6</f>
        <v>128.20553487574054</v>
      </c>
      <c r="E6" s="129">
        <f>'Projected Sales FY''15-16'!G7</f>
        <v>4.7488275971703358</v>
      </c>
      <c r="F6" s="149">
        <v>0.1</v>
      </c>
      <c r="G6" s="129">
        <f>H6*'Projected Sales FY''15-16'!F7/10</f>
        <v>141.02608836331461</v>
      </c>
      <c r="H6" s="129">
        <f>E6*(100%+F6)</f>
        <v>5.22371035688737</v>
      </c>
      <c r="I6" s="118"/>
    </row>
    <row r="7" spans="2:9" x14ac:dyDescent="0.25">
      <c r="B7" s="98" t="s">
        <v>12</v>
      </c>
      <c r="C7" s="98" t="s">
        <v>41</v>
      </c>
      <c r="D7" s="118"/>
      <c r="E7" s="118"/>
      <c r="F7" s="118"/>
      <c r="G7" s="129"/>
      <c r="H7" s="129"/>
      <c r="I7" s="118"/>
    </row>
    <row r="8" spans="2:9" ht="30" x14ac:dyDescent="0.25">
      <c r="B8" s="98" t="s">
        <v>15</v>
      </c>
      <c r="C8" s="98" t="s">
        <v>42</v>
      </c>
      <c r="D8" s="118"/>
      <c r="E8" s="118"/>
      <c r="F8" s="118"/>
      <c r="G8" s="129"/>
      <c r="H8" s="129"/>
      <c r="I8" s="118"/>
    </row>
    <row r="9" spans="2:9" x14ac:dyDescent="0.25">
      <c r="B9" s="98"/>
      <c r="C9" s="98"/>
      <c r="D9" s="118"/>
      <c r="E9" s="118"/>
      <c r="F9" s="118"/>
      <c r="G9" s="129"/>
      <c r="H9" s="129"/>
      <c r="I9" s="118"/>
    </row>
    <row r="10" spans="2:9" x14ac:dyDescent="0.25">
      <c r="B10" s="135" t="s">
        <v>21</v>
      </c>
      <c r="C10" s="135" t="s">
        <v>43</v>
      </c>
      <c r="D10" s="129">
        <f>'Estd Revenue FY''15-16'!I10</f>
        <v>816.9077457819119</v>
      </c>
      <c r="E10" s="129">
        <f>'Projected Sales FY''15-16'!G11</f>
        <v>7.8113294243389833</v>
      </c>
      <c r="F10" s="149">
        <v>0.31006</v>
      </c>
      <c r="G10" s="129">
        <f>H10*'Projected Sales FY''15-16'!F11/10</f>
        <v>1070.1981614390515</v>
      </c>
      <c r="H10" s="129">
        <f>E10*(100%+F10)</f>
        <v>10.233310225649529</v>
      </c>
      <c r="I10" s="118"/>
    </row>
    <row r="11" spans="2:9" ht="30" x14ac:dyDescent="0.25">
      <c r="B11" s="98" t="s">
        <v>12</v>
      </c>
      <c r="C11" s="98" t="s">
        <v>44</v>
      </c>
      <c r="D11" s="118"/>
      <c r="E11" s="118"/>
      <c r="F11" s="118"/>
      <c r="G11" s="129"/>
      <c r="H11" s="129"/>
      <c r="I11" s="118"/>
    </row>
    <row r="12" spans="2:9" ht="30" x14ac:dyDescent="0.25">
      <c r="B12" s="98" t="s">
        <v>15</v>
      </c>
      <c r="C12" s="98" t="s">
        <v>45</v>
      </c>
      <c r="D12" s="118"/>
      <c r="E12" s="118"/>
      <c r="F12" s="118"/>
      <c r="G12" s="129"/>
      <c r="H12" s="129"/>
      <c r="I12" s="118"/>
    </row>
    <row r="13" spans="2:9" x14ac:dyDescent="0.25">
      <c r="B13" s="98"/>
      <c r="C13" s="98"/>
      <c r="D13" s="118"/>
      <c r="E13" s="118"/>
      <c r="F13" s="118"/>
      <c r="G13" s="129"/>
      <c r="H13" s="129"/>
      <c r="I13" s="118"/>
    </row>
    <row r="14" spans="2:9" x14ac:dyDescent="0.25">
      <c r="B14" s="135" t="s">
        <v>30</v>
      </c>
      <c r="C14" s="135" t="s">
        <v>46</v>
      </c>
      <c r="D14" s="129">
        <f>'Estd Revenue FY''15-16'!I14</f>
        <v>0.1129708659588096</v>
      </c>
      <c r="E14" s="129">
        <f>'Projected Sales FY''15-16'!G15</f>
        <v>6.1904761904761907</v>
      </c>
      <c r="F14" s="149">
        <f>F10</f>
        <v>0.31006</v>
      </c>
      <c r="G14" s="129">
        <f>H14*'Projected Sales FY''15-16'!F15/10</f>
        <v>0.1479986126579981</v>
      </c>
      <c r="H14" s="129">
        <f>E14*(100%+F14)</f>
        <v>8.1098952380952376</v>
      </c>
      <c r="I14" s="118"/>
    </row>
    <row r="15" spans="2:9" ht="45" x14ac:dyDescent="0.25">
      <c r="B15" s="98" t="s">
        <v>12</v>
      </c>
      <c r="C15" s="98" t="s">
        <v>47</v>
      </c>
      <c r="D15" s="118"/>
      <c r="E15" s="118"/>
      <c r="F15" s="118"/>
      <c r="G15" s="129"/>
      <c r="H15" s="129"/>
      <c r="I15" s="118"/>
    </row>
    <row r="16" spans="2:9" ht="45" x14ac:dyDescent="0.25">
      <c r="B16" s="98" t="s">
        <v>15</v>
      </c>
      <c r="C16" s="98" t="s">
        <v>48</v>
      </c>
      <c r="D16" s="118"/>
      <c r="E16" s="118"/>
      <c r="F16" s="118"/>
      <c r="G16" s="129"/>
      <c r="H16" s="129"/>
      <c r="I16" s="118"/>
    </row>
    <row r="17" spans="2:9" ht="30" x14ac:dyDescent="0.25">
      <c r="B17" s="98" t="s">
        <v>18</v>
      </c>
      <c r="C17" s="98" t="s">
        <v>49</v>
      </c>
      <c r="D17" s="118"/>
      <c r="E17" s="118"/>
      <c r="F17" s="118"/>
      <c r="G17" s="129"/>
      <c r="H17" s="129"/>
      <c r="I17" s="118"/>
    </row>
    <row r="18" spans="2:9" x14ac:dyDescent="0.25">
      <c r="B18" s="98"/>
      <c r="C18" s="98"/>
      <c r="D18" s="118"/>
      <c r="E18" s="118"/>
      <c r="F18" s="118"/>
      <c r="G18" s="129"/>
      <c r="H18" s="129"/>
      <c r="I18" s="118"/>
    </row>
    <row r="19" spans="2:9" x14ac:dyDescent="0.25">
      <c r="B19" s="4" t="s">
        <v>50</v>
      </c>
      <c r="C19" s="4" t="s">
        <v>51</v>
      </c>
      <c r="D19" s="118"/>
      <c r="E19" s="118"/>
      <c r="F19" s="118"/>
      <c r="G19" s="129"/>
      <c r="H19" s="129"/>
      <c r="I19" s="118"/>
    </row>
    <row r="20" spans="2:9" x14ac:dyDescent="0.25">
      <c r="B20" s="4"/>
      <c r="C20" s="4"/>
      <c r="D20" s="118"/>
      <c r="E20" s="118"/>
      <c r="F20" s="118"/>
      <c r="G20" s="129"/>
      <c r="H20" s="129"/>
      <c r="I20" s="118"/>
    </row>
    <row r="21" spans="2:9" x14ac:dyDescent="0.25">
      <c r="B21" s="98" t="s">
        <v>52</v>
      </c>
      <c r="C21" s="98" t="s">
        <v>53</v>
      </c>
      <c r="D21" s="118"/>
      <c r="E21" s="118"/>
      <c r="F21" s="118"/>
      <c r="G21" s="129"/>
      <c r="H21" s="129"/>
      <c r="I21" s="118"/>
    </row>
    <row r="22" spans="2:9" x14ac:dyDescent="0.25">
      <c r="B22" s="98"/>
      <c r="C22" s="98"/>
      <c r="D22" s="118"/>
      <c r="E22" s="118"/>
      <c r="F22" s="118"/>
      <c r="G22" s="129"/>
      <c r="H22" s="129"/>
      <c r="I22" s="118"/>
    </row>
    <row r="23" spans="2:9" x14ac:dyDescent="0.25">
      <c r="B23" s="98" t="s">
        <v>54</v>
      </c>
      <c r="C23" s="98" t="s">
        <v>55</v>
      </c>
      <c r="D23" s="129">
        <f>'Estd Revenue FY''15-16'!I23</f>
        <v>6.1676695602201921</v>
      </c>
      <c r="E23" s="129">
        <f>'Projected Sales FY''15-16'!G24</f>
        <v>7.427884615384615</v>
      </c>
      <c r="F23" s="156">
        <v>0.1</v>
      </c>
      <c r="G23" s="129">
        <f>H23*'Projected Sales FY''15-16'!F24/10</f>
        <v>6.7844365162422111</v>
      </c>
      <c r="H23" s="129">
        <f>E23*(100%+F23)</f>
        <v>8.1706730769230766</v>
      </c>
      <c r="I23" s="118"/>
    </row>
    <row r="24" spans="2:9" x14ac:dyDescent="0.25">
      <c r="B24" s="98" t="s">
        <v>12</v>
      </c>
      <c r="C24" s="98" t="s">
        <v>56</v>
      </c>
      <c r="D24" s="118"/>
      <c r="E24" s="118"/>
      <c r="F24" s="118"/>
      <c r="G24" s="129"/>
      <c r="H24" s="129"/>
      <c r="I24" s="118"/>
    </row>
    <row r="25" spans="2:9" x14ac:dyDescent="0.25">
      <c r="B25" s="98" t="s">
        <v>15</v>
      </c>
      <c r="C25" s="98" t="s">
        <v>57</v>
      </c>
      <c r="D25" s="118"/>
      <c r="E25" s="118"/>
      <c r="F25" s="118"/>
      <c r="G25" s="129"/>
      <c r="H25" s="129"/>
      <c r="I25" s="118"/>
    </row>
    <row r="26" spans="2:9" x14ac:dyDescent="0.25">
      <c r="B26" s="98"/>
      <c r="C26" s="98"/>
      <c r="D26" s="118"/>
      <c r="E26" s="118"/>
      <c r="F26" s="118"/>
      <c r="G26" s="129"/>
      <c r="H26" s="129"/>
      <c r="I26" s="118"/>
    </row>
    <row r="27" spans="2:9" x14ac:dyDescent="0.25">
      <c r="B27" s="98" t="s">
        <v>58</v>
      </c>
      <c r="C27" s="98" t="s">
        <v>74</v>
      </c>
      <c r="D27" s="118"/>
      <c r="E27" s="118"/>
      <c r="F27" s="118"/>
      <c r="G27" s="129"/>
      <c r="H27" s="129"/>
      <c r="I27" s="118"/>
    </row>
    <row r="28" spans="2:9" x14ac:dyDescent="0.25">
      <c r="B28" s="98" t="s">
        <v>12</v>
      </c>
      <c r="C28" s="98" t="s">
        <v>59</v>
      </c>
      <c r="D28" s="118"/>
      <c r="E28" s="118"/>
      <c r="F28" s="118"/>
      <c r="G28" s="129"/>
      <c r="H28" s="129"/>
      <c r="I28" s="118"/>
    </row>
    <row r="29" spans="2:9" x14ac:dyDescent="0.25">
      <c r="B29" s="98" t="s">
        <v>15</v>
      </c>
      <c r="C29" s="98" t="s">
        <v>60</v>
      </c>
      <c r="D29" s="118"/>
      <c r="E29" s="118"/>
      <c r="F29" s="118"/>
      <c r="G29" s="129"/>
      <c r="H29" s="129"/>
      <c r="I29" s="118"/>
    </row>
    <row r="30" spans="2:9" x14ac:dyDescent="0.25">
      <c r="B30" s="98"/>
      <c r="C30" s="98"/>
      <c r="D30" s="118"/>
      <c r="E30" s="118"/>
      <c r="F30" s="118"/>
      <c r="G30" s="129"/>
      <c r="H30" s="129"/>
      <c r="I30" s="118"/>
    </row>
    <row r="31" spans="2:9" x14ac:dyDescent="0.25">
      <c r="B31" s="98" t="s">
        <v>61</v>
      </c>
      <c r="C31" s="98" t="s">
        <v>62</v>
      </c>
      <c r="D31" s="118"/>
      <c r="E31" s="118"/>
      <c r="F31" s="118"/>
      <c r="G31" s="129"/>
      <c r="H31" s="129"/>
      <c r="I31" s="118"/>
    </row>
    <row r="32" spans="2:9" x14ac:dyDescent="0.25">
      <c r="B32" s="98"/>
      <c r="C32" s="98"/>
      <c r="D32" s="118"/>
      <c r="E32" s="118"/>
      <c r="F32" s="118"/>
      <c r="G32" s="129"/>
      <c r="H32" s="129"/>
      <c r="I32" s="118"/>
    </row>
    <row r="33" spans="2:9" x14ac:dyDescent="0.25">
      <c r="B33" s="98" t="s">
        <v>63</v>
      </c>
      <c r="C33" s="98" t="s">
        <v>64</v>
      </c>
      <c r="D33" s="118"/>
      <c r="E33" s="118"/>
      <c r="F33" s="118"/>
      <c r="G33" s="129"/>
      <c r="H33" s="129"/>
      <c r="I33" s="118"/>
    </row>
    <row r="34" spans="2:9" x14ac:dyDescent="0.25">
      <c r="B34" s="98"/>
      <c r="C34" s="98"/>
      <c r="D34" s="118"/>
      <c r="E34" s="118"/>
      <c r="F34" s="118"/>
      <c r="G34" s="129"/>
      <c r="H34" s="129"/>
      <c r="I34" s="118"/>
    </row>
    <row r="35" spans="2:9" x14ac:dyDescent="0.25">
      <c r="B35" s="98" t="s">
        <v>65</v>
      </c>
      <c r="C35" s="98" t="s">
        <v>66</v>
      </c>
      <c r="D35" s="129">
        <f>'Estd Revenue FY''15-16'!I35</f>
        <v>23.663980126966607</v>
      </c>
      <c r="E35" s="129">
        <f>'Projected Sales FY''15-16'!G36</f>
        <v>5.7576593982887116</v>
      </c>
      <c r="F35" s="149">
        <f>F10</f>
        <v>0.31006</v>
      </c>
      <c r="G35" s="129">
        <f>H35*'Projected Sales FY''15-16'!F36/10</f>
        <v>31.001233805133872</v>
      </c>
      <c r="H35" s="129">
        <f>E35*(100%+F35)</f>
        <v>7.5428792713221098</v>
      </c>
      <c r="I35" s="118"/>
    </row>
    <row r="36" spans="2:9" x14ac:dyDescent="0.25">
      <c r="B36" s="98"/>
      <c r="C36" s="98"/>
      <c r="D36" s="118"/>
      <c r="E36" s="118"/>
      <c r="F36" s="118"/>
      <c r="G36" s="129"/>
      <c r="H36" s="129"/>
      <c r="I36" s="118"/>
    </row>
    <row r="37" spans="2:9" ht="30" x14ac:dyDescent="0.25">
      <c r="B37" s="98" t="s">
        <v>67</v>
      </c>
      <c r="C37" s="98" t="s">
        <v>68</v>
      </c>
      <c r="D37" s="118"/>
      <c r="E37" s="118"/>
      <c r="F37" s="118"/>
      <c r="G37" s="129"/>
      <c r="H37" s="129"/>
      <c r="I37" s="118"/>
    </row>
    <row r="38" spans="2:9" x14ac:dyDescent="0.25">
      <c r="B38" s="98"/>
      <c r="C38" s="98"/>
      <c r="D38" s="118"/>
      <c r="E38" s="118"/>
      <c r="F38" s="118"/>
      <c r="G38" s="129"/>
      <c r="H38" s="129"/>
      <c r="I38" s="118"/>
    </row>
    <row r="39" spans="2:9" x14ac:dyDescent="0.25">
      <c r="B39" s="98" t="s">
        <v>69</v>
      </c>
      <c r="C39" s="98" t="s">
        <v>70</v>
      </c>
      <c r="D39" s="129"/>
      <c r="E39" s="129"/>
      <c r="F39" s="118"/>
      <c r="G39" s="129"/>
      <c r="H39" s="129"/>
      <c r="I39" s="118"/>
    </row>
    <row r="40" spans="2:9" x14ac:dyDescent="0.25">
      <c r="B40" s="98"/>
      <c r="C40" s="98"/>
      <c r="D40" s="118"/>
      <c r="E40" s="118"/>
      <c r="F40" s="118"/>
      <c r="G40" s="129"/>
      <c r="H40" s="129"/>
      <c r="I40" s="118"/>
    </row>
    <row r="41" spans="2:9" x14ac:dyDescent="0.25">
      <c r="B41" s="98" t="s">
        <v>71</v>
      </c>
      <c r="C41" s="98" t="s">
        <v>72</v>
      </c>
      <c r="D41" s="129">
        <f>'Estd Revenue FY''15-16'!I41</f>
        <v>2.9070327900085164</v>
      </c>
      <c r="E41" s="129">
        <f>'Projected Sales FY''15-16'!G42</f>
        <v>2.9568788501026693</v>
      </c>
      <c r="F41" s="149">
        <f>F10</f>
        <v>0.31006</v>
      </c>
      <c r="G41" s="129">
        <f>H41*'Projected Sales FY''15-16'!F42/10</f>
        <v>3.8083873768785574</v>
      </c>
      <c r="H41" s="129">
        <f>E41*(100%+F41)</f>
        <v>3.873688706365503</v>
      </c>
      <c r="I41" s="118"/>
    </row>
    <row r="42" spans="2:9" x14ac:dyDescent="0.25">
      <c r="B42" s="98"/>
      <c r="C42" s="135" t="s">
        <v>73</v>
      </c>
      <c r="D42" s="129">
        <f>SUM(D6:D41)</f>
        <v>977.96493400080669</v>
      </c>
      <c r="E42" s="129"/>
      <c r="F42" s="211">
        <f>'D1'!$D$76</f>
        <v>0.28120639311588419</v>
      </c>
      <c r="G42" s="129">
        <f>SUM(G6:G41)</f>
        <v>1252.9663061132787</v>
      </c>
      <c r="H42" s="129"/>
      <c r="I42" s="118"/>
    </row>
    <row r="43" spans="2:9" x14ac:dyDescent="0.25">
      <c r="D43" s="130"/>
      <c r="E43" s="130"/>
      <c r="F43" s="212"/>
      <c r="G43" s="130"/>
      <c r="H43" s="210"/>
    </row>
  </sheetData>
  <mergeCells count="1">
    <mergeCell ref="B2:I2"/>
  </mergeCell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2"/>
  <sheetViews>
    <sheetView workbookViewId="0">
      <selection activeCell="N8" sqref="A1:XFD1048576"/>
    </sheetView>
  </sheetViews>
  <sheetFormatPr defaultRowHeight="15" x14ac:dyDescent="0.25"/>
  <cols>
    <col min="1" max="2" width="9.140625" style="119"/>
    <col min="3" max="3" width="15.140625" style="119" customWidth="1"/>
    <col min="4" max="4" width="9.140625" style="119"/>
    <col min="5" max="5" width="12.85546875" style="119" customWidth="1"/>
    <col min="6" max="6" width="9.140625" style="119"/>
    <col min="7" max="7" width="19.5703125" style="119" customWidth="1"/>
    <col min="8" max="8" width="18.42578125" style="119" customWidth="1"/>
    <col min="9" max="16384" width="9.140625" style="119"/>
  </cols>
  <sheetData>
    <row r="2" spans="2:9" x14ac:dyDescent="0.25">
      <c r="B2" s="256" t="s">
        <v>762</v>
      </c>
      <c r="C2" s="256"/>
      <c r="D2" s="256"/>
      <c r="E2" s="256"/>
      <c r="F2" s="256"/>
      <c r="G2" s="256"/>
      <c r="H2" s="256"/>
      <c r="I2" s="256"/>
    </row>
    <row r="4" spans="2:9" ht="45" x14ac:dyDescent="0.25">
      <c r="B4" s="135" t="s">
        <v>5</v>
      </c>
      <c r="C4" s="135" t="s">
        <v>32</v>
      </c>
      <c r="D4" s="135" t="s">
        <v>760</v>
      </c>
      <c r="E4" s="135" t="s">
        <v>763</v>
      </c>
      <c r="F4" s="135" t="s">
        <v>764</v>
      </c>
      <c r="G4" s="135" t="s">
        <v>757</v>
      </c>
      <c r="H4" s="23" t="s">
        <v>765</v>
      </c>
      <c r="I4" s="135" t="s">
        <v>9</v>
      </c>
    </row>
    <row r="5" spans="2:9" x14ac:dyDescent="0.25">
      <c r="B5" s="98"/>
      <c r="C5" s="98"/>
      <c r="D5" s="135" t="s">
        <v>761</v>
      </c>
      <c r="E5" s="135" t="s">
        <v>758</v>
      </c>
      <c r="F5" s="135" t="s">
        <v>17</v>
      </c>
      <c r="G5" s="135" t="s">
        <v>758</v>
      </c>
      <c r="H5" s="135"/>
      <c r="I5" s="98"/>
    </row>
    <row r="6" spans="2:9" x14ac:dyDescent="0.25">
      <c r="B6" s="135" t="s">
        <v>10</v>
      </c>
      <c r="C6" s="135" t="s">
        <v>40</v>
      </c>
      <c r="D6" s="98"/>
      <c r="E6" s="98"/>
      <c r="F6" s="98"/>
      <c r="G6" s="98"/>
      <c r="H6" s="98"/>
      <c r="I6" s="98"/>
    </row>
    <row r="7" spans="2:9" ht="30" x14ac:dyDescent="0.25">
      <c r="B7" s="98" t="s">
        <v>12</v>
      </c>
      <c r="C7" s="98" t="s">
        <v>41</v>
      </c>
      <c r="D7" s="98"/>
      <c r="E7" s="98"/>
      <c r="F7" s="98"/>
      <c r="G7" s="98"/>
      <c r="H7" s="98"/>
      <c r="I7" s="98"/>
    </row>
    <row r="8" spans="2:9" ht="30" x14ac:dyDescent="0.25">
      <c r="B8" s="98" t="s">
        <v>15</v>
      </c>
      <c r="C8" s="98" t="s">
        <v>42</v>
      </c>
      <c r="D8" s="98"/>
      <c r="E8" s="98"/>
      <c r="F8" s="98"/>
      <c r="G8" s="98"/>
      <c r="H8" s="98"/>
      <c r="I8" s="98"/>
    </row>
    <row r="9" spans="2:9" x14ac:dyDescent="0.25">
      <c r="B9" s="98"/>
      <c r="C9" s="98"/>
      <c r="D9" s="98"/>
      <c r="E9" s="98"/>
      <c r="F9" s="98"/>
      <c r="G9" s="98"/>
      <c r="H9" s="98"/>
      <c r="I9" s="98"/>
    </row>
    <row r="10" spans="2:9" x14ac:dyDescent="0.25">
      <c r="B10" s="135" t="s">
        <v>21</v>
      </c>
      <c r="C10" s="135" t="s">
        <v>43</v>
      </c>
      <c r="D10" s="98"/>
      <c r="E10" s="98"/>
      <c r="F10" s="98"/>
      <c r="G10" s="98"/>
      <c r="H10" s="98"/>
      <c r="I10" s="98"/>
    </row>
    <row r="11" spans="2:9" ht="45" x14ac:dyDescent="0.25">
      <c r="B11" s="98" t="s">
        <v>12</v>
      </c>
      <c r="C11" s="98" t="s">
        <v>44</v>
      </c>
      <c r="D11" s="98"/>
      <c r="E11" s="98"/>
      <c r="F11" s="98"/>
      <c r="G11" s="98"/>
      <c r="H11" s="98"/>
      <c r="I11" s="98"/>
    </row>
    <row r="12" spans="2:9" ht="45" x14ac:dyDescent="0.25">
      <c r="B12" s="98" t="s">
        <v>15</v>
      </c>
      <c r="C12" s="98" t="s">
        <v>45</v>
      </c>
      <c r="D12" s="98"/>
      <c r="E12" s="98"/>
      <c r="F12" s="98"/>
      <c r="G12" s="98"/>
      <c r="H12" s="98"/>
      <c r="I12" s="98"/>
    </row>
    <row r="13" spans="2:9" x14ac:dyDescent="0.25">
      <c r="B13" s="98"/>
      <c r="C13" s="98"/>
      <c r="D13" s="98"/>
      <c r="E13" s="98"/>
      <c r="F13" s="98"/>
      <c r="G13" s="98"/>
      <c r="H13" s="98"/>
      <c r="I13" s="98"/>
    </row>
    <row r="14" spans="2:9" x14ac:dyDescent="0.25">
      <c r="B14" s="135" t="s">
        <v>30</v>
      </c>
      <c r="C14" s="135" t="s">
        <v>46</v>
      </c>
      <c r="D14" s="98"/>
      <c r="E14" s="98"/>
      <c r="F14" s="98"/>
      <c r="G14" s="98"/>
      <c r="H14" s="98"/>
      <c r="I14" s="98"/>
    </row>
    <row r="15" spans="2:9" ht="75" x14ac:dyDescent="0.25">
      <c r="B15" s="98" t="s">
        <v>12</v>
      </c>
      <c r="C15" s="98" t="s">
        <v>47</v>
      </c>
      <c r="D15" s="98"/>
      <c r="E15" s="98"/>
      <c r="F15" s="98"/>
      <c r="G15" s="98"/>
      <c r="H15" s="98"/>
      <c r="I15" s="98"/>
    </row>
    <row r="16" spans="2:9" ht="90" x14ac:dyDescent="0.25">
      <c r="B16" s="98" t="s">
        <v>15</v>
      </c>
      <c r="C16" s="98" t="s">
        <v>48</v>
      </c>
      <c r="D16" s="98"/>
      <c r="E16" s="98"/>
      <c r="F16" s="98"/>
      <c r="G16" s="98"/>
      <c r="H16" s="98"/>
      <c r="I16" s="98"/>
    </row>
    <row r="17" spans="2:9" ht="60" x14ac:dyDescent="0.25">
      <c r="B17" s="98" t="s">
        <v>18</v>
      </c>
      <c r="C17" s="98" t="s">
        <v>49</v>
      </c>
      <c r="D17" s="98"/>
      <c r="E17" s="98"/>
      <c r="F17" s="98"/>
      <c r="G17" s="98"/>
      <c r="H17" s="98"/>
      <c r="I17" s="98"/>
    </row>
    <row r="18" spans="2:9" x14ac:dyDescent="0.25">
      <c r="B18" s="98"/>
      <c r="C18" s="98"/>
      <c r="D18" s="98"/>
      <c r="E18" s="98"/>
      <c r="F18" s="98"/>
      <c r="G18" s="98"/>
      <c r="H18" s="98"/>
      <c r="I18" s="98"/>
    </row>
    <row r="19" spans="2:9" x14ac:dyDescent="0.25">
      <c r="B19" s="4" t="s">
        <v>50</v>
      </c>
      <c r="C19" s="4" t="s">
        <v>51</v>
      </c>
      <c r="D19" s="98"/>
      <c r="E19" s="98"/>
      <c r="F19" s="98"/>
      <c r="G19" s="98"/>
      <c r="H19" s="98"/>
      <c r="I19" s="98"/>
    </row>
    <row r="20" spans="2:9" x14ac:dyDescent="0.25">
      <c r="B20" s="4"/>
      <c r="C20" s="4"/>
      <c r="D20" s="98"/>
      <c r="E20" s="98"/>
      <c r="F20" s="98"/>
      <c r="G20" s="98"/>
      <c r="H20" s="98"/>
      <c r="I20" s="98"/>
    </row>
    <row r="21" spans="2:9" ht="30" x14ac:dyDescent="0.25">
      <c r="B21" s="98" t="s">
        <v>52</v>
      </c>
      <c r="C21" s="98" t="s">
        <v>53</v>
      </c>
      <c r="D21" s="98"/>
      <c r="E21" s="98"/>
      <c r="F21" s="98"/>
      <c r="G21" s="98"/>
      <c r="H21" s="98"/>
      <c r="I21" s="98"/>
    </row>
    <row r="22" spans="2:9" x14ac:dyDescent="0.25">
      <c r="B22" s="98"/>
      <c r="C22" s="98"/>
      <c r="D22" s="98"/>
      <c r="E22" s="98"/>
      <c r="F22" s="98"/>
      <c r="G22" s="98"/>
      <c r="H22" s="98"/>
      <c r="I22" s="98"/>
    </row>
    <row r="23" spans="2:9" x14ac:dyDescent="0.25">
      <c r="B23" s="98" t="s">
        <v>54</v>
      </c>
      <c r="C23" s="98" t="s">
        <v>55</v>
      </c>
      <c r="D23" s="98"/>
      <c r="E23" s="98"/>
      <c r="F23" s="98"/>
      <c r="G23" s="98"/>
      <c r="H23" s="98"/>
      <c r="I23" s="98"/>
    </row>
    <row r="24" spans="2:9" x14ac:dyDescent="0.25">
      <c r="B24" s="98" t="s">
        <v>12</v>
      </c>
      <c r="C24" s="98" t="s">
        <v>56</v>
      </c>
      <c r="D24" s="98"/>
      <c r="E24" s="98"/>
      <c r="F24" s="98"/>
      <c r="G24" s="98"/>
      <c r="H24" s="98"/>
      <c r="I24" s="98"/>
    </row>
    <row r="25" spans="2:9" x14ac:dyDescent="0.25">
      <c r="B25" s="98" t="s">
        <v>15</v>
      </c>
      <c r="C25" s="98" t="s">
        <v>57</v>
      </c>
      <c r="D25" s="98"/>
      <c r="E25" s="98"/>
      <c r="F25" s="98"/>
      <c r="G25" s="98"/>
      <c r="H25" s="98"/>
      <c r="I25" s="98"/>
    </row>
    <row r="26" spans="2:9" x14ac:dyDescent="0.25">
      <c r="B26" s="98"/>
      <c r="C26" s="98"/>
      <c r="D26" s="98"/>
      <c r="E26" s="98"/>
      <c r="F26" s="98"/>
      <c r="G26" s="98"/>
      <c r="H26" s="98"/>
      <c r="I26" s="98"/>
    </row>
    <row r="27" spans="2:9" ht="30" x14ac:dyDescent="0.25">
      <c r="B27" s="98" t="s">
        <v>58</v>
      </c>
      <c r="C27" s="98" t="s">
        <v>74</v>
      </c>
      <c r="D27" s="98"/>
      <c r="E27" s="98"/>
      <c r="F27" s="98"/>
      <c r="G27" s="98"/>
      <c r="H27" s="98"/>
      <c r="I27" s="98"/>
    </row>
    <row r="28" spans="2:9" x14ac:dyDescent="0.25">
      <c r="B28" s="98" t="s">
        <v>12</v>
      </c>
      <c r="C28" s="98" t="s">
        <v>59</v>
      </c>
      <c r="D28" s="98"/>
      <c r="E28" s="98"/>
      <c r="F28" s="98"/>
      <c r="G28" s="98"/>
      <c r="H28" s="98"/>
      <c r="I28" s="98"/>
    </row>
    <row r="29" spans="2:9" ht="30" x14ac:dyDescent="0.25">
      <c r="B29" s="98" t="s">
        <v>15</v>
      </c>
      <c r="C29" s="98" t="s">
        <v>60</v>
      </c>
      <c r="D29" s="98"/>
      <c r="E29" s="98"/>
      <c r="F29" s="98"/>
      <c r="G29" s="98"/>
      <c r="H29" s="98"/>
      <c r="I29" s="98"/>
    </row>
    <row r="30" spans="2:9" x14ac:dyDescent="0.25">
      <c r="B30" s="98"/>
      <c r="C30" s="98"/>
      <c r="D30" s="98"/>
      <c r="E30" s="98"/>
      <c r="F30" s="98"/>
      <c r="G30" s="98"/>
      <c r="H30" s="98"/>
      <c r="I30" s="98"/>
    </row>
    <row r="31" spans="2:9" x14ac:dyDescent="0.25">
      <c r="B31" s="98" t="s">
        <v>61</v>
      </c>
      <c r="C31" s="98" t="s">
        <v>62</v>
      </c>
      <c r="D31" s="98"/>
      <c r="E31" s="98"/>
      <c r="F31" s="98"/>
      <c r="G31" s="98"/>
      <c r="H31" s="98"/>
      <c r="I31" s="98"/>
    </row>
    <row r="32" spans="2:9" x14ac:dyDescent="0.25">
      <c r="B32" s="98"/>
      <c r="C32" s="98"/>
      <c r="D32" s="98"/>
      <c r="E32" s="98"/>
      <c r="F32" s="98"/>
      <c r="G32" s="98"/>
      <c r="H32" s="98"/>
      <c r="I32" s="98"/>
    </row>
    <row r="33" spans="2:9" ht="30" x14ac:dyDescent="0.25">
      <c r="B33" s="98" t="s">
        <v>63</v>
      </c>
      <c r="C33" s="98" t="s">
        <v>64</v>
      </c>
      <c r="D33" s="98"/>
      <c r="E33" s="98"/>
      <c r="F33" s="98"/>
      <c r="G33" s="98"/>
      <c r="H33" s="98"/>
      <c r="I33" s="98"/>
    </row>
    <row r="34" spans="2:9" x14ac:dyDescent="0.25">
      <c r="B34" s="98"/>
      <c r="C34" s="98"/>
      <c r="D34" s="98"/>
      <c r="E34" s="98"/>
      <c r="F34" s="98"/>
      <c r="G34" s="98"/>
      <c r="H34" s="98"/>
      <c r="I34" s="98"/>
    </row>
    <row r="35" spans="2:9" x14ac:dyDescent="0.25">
      <c r="B35" s="98" t="s">
        <v>65</v>
      </c>
      <c r="C35" s="98" t="s">
        <v>66</v>
      </c>
      <c r="D35" s="98"/>
      <c r="E35" s="98"/>
      <c r="F35" s="98"/>
      <c r="G35" s="98"/>
      <c r="H35" s="98"/>
      <c r="I35" s="98"/>
    </row>
    <row r="36" spans="2:9" x14ac:dyDescent="0.25">
      <c r="B36" s="98"/>
      <c r="C36" s="98"/>
      <c r="D36" s="98"/>
      <c r="E36" s="98"/>
      <c r="F36" s="98"/>
      <c r="G36" s="98"/>
      <c r="H36" s="98"/>
      <c r="I36" s="98"/>
    </row>
    <row r="37" spans="2:9" ht="30" x14ac:dyDescent="0.25">
      <c r="B37" s="98" t="s">
        <v>67</v>
      </c>
      <c r="C37" s="98" t="s">
        <v>68</v>
      </c>
      <c r="D37" s="98"/>
      <c r="E37" s="98"/>
      <c r="F37" s="98"/>
      <c r="G37" s="98"/>
      <c r="H37" s="98"/>
      <c r="I37" s="98"/>
    </row>
    <row r="38" spans="2:9" x14ac:dyDescent="0.25">
      <c r="B38" s="98"/>
      <c r="C38" s="98"/>
      <c r="D38" s="98"/>
      <c r="E38" s="98"/>
      <c r="F38" s="98"/>
      <c r="G38" s="98"/>
      <c r="H38" s="98"/>
      <c r="I38" s="98"/>
    </row>
    <row r="39" spans="2:9" ht="30" x14ac:dyDescent="0.25">
      <c r="B39" s="98" t="s">
        <v>69</v>
      </c>
      <c r="C39" s="98" t="s">
        <v>70</v>
      </c>
      <c r="D39" s="98"/>
      <c r="E39" s="98"/>
      <c r="F39" s="98"/>
      <c r="G39" s="98"/>
      <c r="H39" s="98"/>
      <c r="I39" s="98"/>
    </row>
    <row r="40" spans="2:9" x14ac:dyDescent="0.25">
      <c r="B40" s="98"/>
      <c r="C40" s="98"/>
      <c r="D40" s="98"/>
      <c r="E40" s="98"/>
      <c r="F40" s="98"/>
      <c r="G40" s="98"/>
      <c r="H40" s="98"/>
      <c r="I40" s="98"/>
    </row>
    <row r="41" spans="2:9" x14ac:dyDescent="0.25">
      <c r="B41" s="98" t="s">
        <v>71</v>
      </c>
      <c r="C41" s="98" t="s">
        <v>72</v>
      </c>
      <c r="D41" s="98"/>
      <c r="E41" s="98"/>
      <c r="F41" s="98"/>
      <c r="G41" s="98"/>
      <c r="H41" s="98"/>
      <c r="I41" s="98"/>
    </row>
    <row r="42" spans="2:9" x14ac:dyDescent="0.25">
      <c r="B42" s="98"/>
      <c r="C42" s="135" t="s">
        <v>73</v>
      </c>
      <c r="D42" s="98"/>
      <c r="E42" s="98"/>
      <c r="F42" s="98"/>
      <c r="G42" s="98"/>
      <c r="H42" s="98"/>
      <c r="I42" s="98"/>
    </row>
  </sheetData>
  <mergeCells count="1">
    <mergeCell ref="B2:I2"/>
  </mergeCell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78"/>
  <sheetViews>
    <sheetView topLeftCell="A71" workbookViewId="0">
      <selection activeCell="J88" sqref="J88"/>
    </sheetView>
  </sheetViews>
  <sheetFormatPr defaultRowHeight="15" x14ac:dyDescent="0.25"/>
  <cols>
    <col min="1" max="2" width="9.140625" style="119"/>
    <col min="3" max="3" width="24.140625" style="119" customWidth="1"/>
    <col min="4" max="4" width="16" style="119" customWidth="1"/>
    <col min="5" max="6" width="15.42578125" style="119" customWidth="1"/>
    <col min="7" max="8" width="14.85546875" style="119" customWidth="1"/>
    <col min="9" max="9" width="15.140625" style="119" customWidth="1"/>
    <col min="10" max="16384" width="9.140625" style="119"/>
  </cols>
  <sheetData>
    <row r="2" spans="2:9" x14ac:dyDescent="0.25">
      <c r="B2" s="256" t="s">
        <v>767</v>
      </c>
      <c r="C2" s="256"/>
      <c r="D2" s="256"/>
      <c r="E2" s="256"/>
      <c r="F2" s="256"/>
      <c r="G2" s="256"/>
      <c r="H2" s="256"/>
      <c r="I2" s="256"/>
    </row>
    <row r="4" spans="2:9" x14ac:dyDescent="0.25">
      <c r="B4" s="237" t="s">
        <v>100</v>
      </c>
      <c r="C4" s="237" t="s">
        <v>32</v>
      </c>
      <c r="D4" s="300" t="s">
        <v>1036</v>
      </c>
      <c r="E4" s="300"/>
      <c r="F4" s="300"/>
      <c r="G4" s="237" t="s">
        <v>1039</v>
      </c>
      <c r="H4" s="237"/>
      <c r="I4" s="237"/>
    </row>
    <row r="5" spans="2:9" x14ac:dyDescent="0.25">
      <c r="B5" s="237"/>
      <c r="C5" s="237"/>
      <c r="D5" s="228" t="s">
        <v>97</v>
      </c>
      <c r="E5" s="228" t="s">
        <v>98</v>
      </c>
      <c r="F5" s="228" t="s">
        <v>99</v>
      </c>
      <c r="G5" s="228" t="s">
        <v>97</v>
      </c>
      <c r="H5" s="228" t="s">
        <v>98</v>
      </c>
      <c r="I5" s="228" t="s">
        <v>99</v>
      </c>
    </row>
    <row r="6" spans="2:9" x14ac:dyDescent="0.25">
      <c r="B6" s="118"/>
      <c r="C6" s="118"/>
      <c r="D6" s="228" t="s">
        <v>1037</v>
      </c>
      <c r="E6" s="228" t="s">
        <v>1037</v>
      </c>
      <c r="F6" s="228" t="s">
        <v>1038</v>
      </c>
      <c r="G6" s="228" t="s">
        <v>1037</v>
      </c>
      <c r="H6" s="228" t="s">
        <v>1037</v>
      </c>
      <c r="I6" s="228" t="s">
        <v>1038</v>
      </c>
    </row>
    <row r="7" spans="2:9" x14ac:dyDescent="0.25">
      <c r="B7" s="135">
        <v>1</v>
      </c>
      <c r="C7" s="135" t="s">
        <v>40</v>
      </c>
      <c r="D7" s="227">
        <f>F7*0.02551</f>
        <v>3.2705231946801412</v>
      </c>
      <c r="E7" s="227">
        <f>F7-D7</f>
        <v>124.9350116810604</v>
      </c>
      <c r="F7" s="227">
        <f>'D3'!D6</f>
        <v>128.20553487574054</v>
      </c>
      <c r="G7" s="227">
        <f>0.02551*I7</f>
        <v>3.597575514148156</v>
      </c>
      <c r="H7" s="227">
        <f>I7-G7</f>
        <v>137.42851284916645</v>
      </c>
      <c r="I7" s="227">
        <f>'D3'!G6</f>
        <v>141.02608836331461</v>
      </c>
    </row>
    <row r="8" spans="2:9" x14ac:dyDescent="0.25">
      <c r="B8" s="98">
        <v>1.1000000000000001</v>
      </c>
      <c r="C8" s="98" t="s">
        <v>40</v>
      </c>
      <c r="D8" s="129"/>
      <c r="E8" s="129"/>
      <c r="F8" s="129"/>
      <c r="G8" s="129"/>
      <c r="H8" s="129"/>
      <c r="I8" s="129"/>
    </row>
    <row r="9" spans="2:9" x14ac:dyDescent="0.25">
      <c r="B9" s="98" t="s">
        <v>259</v>
      </c>
      <c r="C9" s="98" t="s">
        <v>769</v>
      </c>
      <c r="D9" s="129"/>
      <c r="E9" s="129"/>
      <c r="F9" s="129"/>
      <c r="G9" s="129"/>
      <c r="H9" s="129"/>
      <c r="I9" s="129"/>
    </row>
    <row r="10" spans="2:9" x14ac:dyDescent="0.25">
      <c r="B10" s="98"/>
      <c r="C10" s="98" t="s">
        <v>770</v>
      </c>
      <c r="D10" s="129"/>
      <c r="E10" s="129"/>
      <c r="F10" s="129"/>
      <c r="G10" s="129"/>
      <c r="H10" s="129"/>
      <c r="I10" s="129"/>
    </row>
    <row r="11" spans="2:9" x14ac:dyDescent="0.25">
      <c r="B11" s="98"/>
      <c r="C11" s="98" t="s">
        <v>771</v>
      </c>
      <c r="D11" s="129"/>
      <c r="E11" s="129"/>
      <c r="F11" s="129"/>
      <c r="G11" s="129"/>
      <c r="H11" s="129"/>
      <c r="I11" s="129"/>
    </row>
    <row r="12" spans="2:9" x14ac:dyDescent="0.25">
      <c r="B12" s="98"/>
      <c r="C12" s="98" t="s">
        <v>772</v>
      </c>
      <c r="D12" s="129"/>
      <c r="E12" s="129"/>
      <c r="F12" s="129"/>
      <c r="G12" s="129"/>
      <c r="H12" s="129"/>
      <c r="I12" s="129"/>
    </row>
    <row r="13" spans="2:9" x14ac:dyDescent="0.25">
      <c r="B13" s="98"/>
      <c r="C13" s="98" t="s">
        <v>773</v>
      </c>
      <c r="D13" s="129"/>
      <c r="E13" s="129"/>
      <c r="F13" s="129"/>
      <c r="G13" s="129"/>
      <c r="H13" s="129"/>
      <c r="I13" s="129"/>
    </row>
    <row r="14" spans="2:9" x14ac:dyDescent="0.25">
      <c r="B14" s="98"/>
      <c r="C14" s="98" t="s">
        <v>774</v>
      </c>
      <c r="D14" s="129"/>
      <c r="E14" s="129"/>
      <c r="F14" s="129"/>
      <c r="G14" s="129"/>
      <c r="H14" s="129"/>
      <c r="I14" s="129"/>
    </row>
    <row r="15" spans="2:9" ht="30" x14ac:dyDescent="0.25">
      <c r="B15" s="98" t="s">
        <v>261</v>
      </c>
      <c r="C15" s="98" t="s">
        <v>775</v>
      </c>
      <c r="D15" s="129"/>
      <c r="E15" s="129"/>
      <c r="F15" s="129"/>
      <c r="G15" s="129"/>
      <c r="H15" s="129"/>
      <c r="I15" s="129"/>
    </row>
    <row r="16" spans="2:9" x14ac:dyDescent="0.25">
      <c r="B16" s="98"/>
      <c r="C16" s="98" t="s">
        <v>770</v>
      </c>
      <c r="D16" s="129"/>
      <c r="E16" s="129"/>
      <c r="F16" s="129"/>
      <c r="G16" s="129"/>
      <c r="H16" s="129"/>
      <c r="I16" s="129"/>
    </row>
    <row r="17" spans="2:9" x14ac:dyDescent="0.25">
      <c r="B17" s="98"/>
      <c r="C17" s="98" t="s">
        <v>771</v>
      </c>
      <c r="D17" s="129"/>
      <c r="E17" s="129"/>
      <c r="F17" s="129"/>
      <c r="G17" s="129"/>
      <c r="H17" s="129"/>
      <c r="I17" s="129"/>
    </row>
    <row r="18" spans="2:9" x14ac:dyDescent="0.25">
      <c r="B18" s="98"/>
      <c r="C18" s="98" t="s">
        <v>772</v>
      </c>
      <c r="D18" s="129"/>
      <c r="E18" s="129"/>
      <c r="F18" s="129"/>
      <c r="G18" s="129"/>
      <c r="H18" s="129"/>
      <c r="I18" s="129"/>
    </row>
    <row r="19" spans="2:9" x14ac:dyDescent="0.25">
      <c r="B19" s="98"/>
      <c r="C19" s="98" t="s">
        <v>773</v>
      </c>
      <c r="D19" s="129"/>
      <c r="E19" s="129"/>
      <c r="F19" s="129"/>
      <c r="G19" s="129"/>
      <c r="H19" s="129"/>
      <c r="I19" s="129"/>
    </row>
    <row r="20" spans="2:9" x14ac:dyDescent="0.25">
      <c r="B20" s="98"/>
      <c r="C20" s="98" t="s">
        <v>774</v>
      </c>
      <c r="D20" s="129"/>
      <c r="E20" s="129"/>
      <c r="F20" s="129"/>
      <c r="G20" s="129"/>
      <c r="H20" s="129"/>
      <c r="I20" s="129"/>
    </row>
    <row r="21" spans="2:9" ht="30" x14ac:dyDescent="0.25">
      <c r="B21" s="98" t="s">
        <v>777</v>
      </c>
      <c r="C21" s="98" t="s">
        <v>776</v>
      </c>
      <c r="D21" s="129"/>
      <c r="E21" s="129"/>
      <c r="F21" s="129"/>
      <c r="G21" s="129"/>
      <c r="H21" s="129"/>
      <c r="I21" s="129"/>
    </row>
    <row r="22" spans="2:9" x14ac:dyDescent="0.25">
      <c r="B22" s="98"/>
      <c r="C22" s="98" t="s">
        <v>770</v>
      </c>
      <c r="D22" s="129"/>
      <c r="E22" s="129"/>
      <c r="F22" s="129"/>
      <c r="G22" s="129"/>
      <c r="H22" s="129"/>
      <c r="I22" s="129"/>
    </row>
    <row r="23" spans="2:9" x14ac:dyDescent="0.25">
      <c r="B23" s="98"/>
      <c r="C23" s="98" t="s">
        <v>771</v>
      </c>
      <c r="D23" s="129"/>
      <c r="E23" s="129"/>
      <c r="F23" s="129"/>
      <c r="G23" s="129"/>
      <c r="H23" s="129"/>
      <c r="I23" s="129"/>
    </row>
    <row r="24" spans="2:9" x14ac:dyDescent="0.25">
      <c r="B24" s="98"/>
      <c r="C24" s="98" t="s">
        <v>772</v>
      </c>
      <c r="D24" s="129"/>
      <c r="E24" s="129"/>
      <c r="F24" s="129"/>
      <c r="G24" s="129"/>
      <c r="H24" s="129"/>
      <c r="I24" s="129"/>
    </row>
    <row r="25" spans="2:9" x14ac:dyDescent="0.25">
      <c r="B25" s="98"/>
      <c r="C25" s="98" t="s">
        <v>773</v>
      </c>
      <c r="D25" s="129"/>
      <c r="E25" s="129"/>
      <c r="F25" s="129"/>
      <c r="G25" s="129"/>
      <c r="H25" s="129"/>
      <c r="I25" s="129"/>
    </row>
    <row r="26" spans="2:9" x14ac:dyDescent="0.25">
      <c r="B26" s="98"/>
      <c r="C26" s="98" t="s">
        <v>774</v>
      </c>
      <c r="D26" s="129"/>
      <c r="E26" s="129"/>
      <c r="F26" s="129"/>
      <c r="G26" s="129"/>
      <c r="H26" s="129"/>
      <c r="I26" s="129"/>
    </row>
    <row r="27" spans="2:9" ht="30" x14ac:dyDescent="0.25">
      <c r="B27" s="98">
        <v>1.2</v>
      </c>
      <c r="C27" s="98" t="s">
        <v>778</v>
      </c>
      <c r="D27" s="129"/>
      <c r="E27" s="129"/>
      <c r="F27" s="129"/>
      <c r="G27" s="129"/>
      <c r="H27" s="129"/>
      <c r="I27" s="129"/>
    </row>
    <row r="28" spans="2:9" x14ac:dyDescent="0.25">
      <c r="B28" s="98"/>
      <c r="C28" s="98" t="s">
        <v>779</v>
      </c>
      <c r="D28" s="129"/>
      <c r="E28" s="129"/>
      <c r="F28" s="129"/>
      <c r="G28" s="129"/>
      <c r="H28" s="129"/>
      <c r="I28" s="129"/>
    </row>
    <row r="29" spans="2:9" x14ac:dyDescent="0.25">
      <c r="B29" s="98"/>
      <c r="C29" s="98" t="s">
        <v>780</v>
      </c>
      <c r="D29" s="129"/>
      <c r="E29" s="129"/>
      <c r="F29" s="129"/>
      <c r="G29" s="129"/>
      <c r="H29" s="129"/>
      <c r="I29" s="129"/>
    </row>
    <row r="30" spans="2:9" x14ac:dyDescent="0.25">
      <c r="B30" s="98"/>
      <c r="C30" s="98" t="s">
        <v>781</v>
      </c>
      <c r="D30" s="129"/>
      <c r="E30" s="129"/>
      <c r="F30" s="129"/>
      <c r="G30" s="129"/>
      <c r="H30" s="129"/>
      <c r="I30" s="129"/>
    </row>
    <row r="31" spans="2:9" x14ac:dyDescent="0.25">
      <c r="B31" s="98"/>
      <c r="C31" s="98" t="s">
        <v>782</v>
      </c>
      <c r="D31" s="129"/>
      <c r="E31" s="129"/>
      <c r="F31" s="129"/>
      <c r="G31" s="129"/>
      <c r="H31" s="129"/>
      <c r="I31" s="129"/>
    </row>
    <row r="32" spans="2:9" x14ac:dyDescent="0.25">
      <c r="B32" s="135">
        <v>2</v>
      </c>
      <c r="C32" s="135" t="s">
        <v>43</v>
      </c>
      <c r="D32" s="129">
        <f>0.0925*F32</f>
        <v>75.56396648482685</v>
      </c>
      <c r="E32" s="129">
        <f>F32-D32</f>
        <v>741.34377929708501</v>
      </c>
      <c r="F32" s="129">
        <f>'D3'!D10</f>
        <v>816.9077457819119</v>
      </c>
      <c r="G32" s="129">
        <f>0.0925*I32</f>
        <v>98.993329933112264</v>
      </c>
      <c r="H32" s="129">
        <f>I32-G32</f>
        <v>971.2048315059393</v>
      </c>
      <c r="I32" s="129">
        <f>'D3'!G10</f>
        <v>1070.1981614390515</v>
      </c>
    </row>
    <row r="33" spans="2:9" ht="47.25" customHeight="1" x14ac:dyDescent="0.25">
      <c r="B33" s="98">
        <v>2.1</v>
      </c>
      <c r="C33" s="98" t="s">
        <v>44</v>
      </c>
      <c r="D33" s="129"/>
      <c r="E33" s="129"/>
      <c r="F33" s="129"/>
      <c r="G33" s="129"/>
      <c r="H33" s="129"/>
      <c r="I33" s="129"/>
    </row>
    <row r="34" spans="2:9" ht="47.25" customHeight="1" x14ac:dyDescent="0.25">
      <c r="B34" s="98"/>
      <c r="C34" s="98" t="s">
        <v>783</v>
      </c>
      <c r="D34" s="129"/>
      <c r="E34" s="129"/>
      <c r="F34" s="129"/>
      <c r="G34" s="129"/>
      <c r="H34" s="129"/>
      <c r="I34" s="129"/>
    </row>
    <row r="35" spans="2:9" ht="47.25" customHeight="1" x14ac:dyDescent="0.25">
      <c r="B35" s="98"/>
      <c r="C35" s="98" t="s">
        <v>784</v>
      </c>
      <c r="D35" s="129"/>
      <c r="E35" s="129"/>
      <c r="F35" s="129"/>
      <c r="G35" s="129"/>
      <c r="H35" s="129"/>
      <c r="I35" s="129"/>
    </row>
    <row r="36" spans="2:9" ht="47.25" customHeight="1" x14ac:dyDescent="0.25">
      <c r="B36" s="98"/>
      <c r="C36" s="98" t="s">
        <v>785</v>
      </c>
      <c r="D36" s="129"/>
      <c r="E36" s="129"/>
      <c r="F36" s="129"/>
      <c r="G36" s="129"/>
      <c r="H36" s="129"/>
      <c r="I36" s="129"/>
    </row>
    <row r="37" spans="2:9" ht="47.25" customHeight="1" x14ac:dyDescent="0.25">
      <c r="B37" s="98"/>
      <c r="C37" s="98" t="s">
        <v>786</v>
      </c>
      <c r="D37" s="129"/>
      <c r="E37" s="129"/>
      <c r="F37" s="129"/>
      <c r="G37" s="129"/>
      <c r="H37" s="129"/>
      <c r="I37" s="129"/>
    </row>
    <row r="38" spans="2:9" ht="30" x14ac:dyDescent="0.25">
      <c r="B38" s="98">
        <v>2.2000000000000002</v>
      </c>
      <c r="C38" s="98" t="s">
        <v>45</v>
      </c>
      <c r="D38" s="129"/>
      <c r="E38" s="129"/>
      <c r="F38" s="129"/>
      <c r="G38" s="129"/>
      <c r="H38" s="129"/>
      <c r="I38" s="129"/>
    </row>
    <row r="39" spans="2:9" ht="45" x14ac:dyDescent="0.25">
      <c r="B39" s="98"/>
      <c r="C39" s="98" t="s">
        <v>787</v>
      </c>
      <c r="D39" s="129"/>
      <c r="E39" s="129"/>
      <c r="F39" s="129"/>
      <c r="G39" s="129"/>
      <c r="H39" s="129"/>
      <c r="I39" s="129"/>
    </row>
    <row r="40" spans="2:9" x14ac:dyDescent="0.25">
      <c r="B40" s="135">
        <v>3</v>
      </c>
      <c r="C40" s="135" t="s">
        <v>46</v>
      </c>
      <c r="D40" s="129">
        <f>F40*0.0301</f>
        <v>3.4004230653601687E-3</v>
      </c>
      <c r="E40" s="129">
        <f>F40-D40</f>
        <v>0.10957044289344943</v>
      </c>
      <c r="F40" s="129">
        <f>'D3'!D14</f>
        <v>0.1129708659588096</v>
      </c>
      <c r="G40" s="225">
        <f>I40*0.0301</f>
        <v>4.4547582410057428E-3</v>
      </c>
      <c r="H40" s="225">
        <f>I40-G40</f>
        <v>0.14354385441699236</v>
      </c>
      <c r="I40" s="129">
        <f>'D3'!G14</f>
        <v>0.1479986126579981</v>
      </c>
    </row>
    <row r="41" spans="2:9" ht="45" x14ac:dyDescent="0.25">
      <c r="B41" s="98">
        <v>3.1</v>
      </c>
      <c r="C41" s="98" t="s">
        <v>47</v>
      </c>
      <c r="D41" s="129"/>
      <c r="E41" s="129"/>
      <c r="F41" s="129"/>
      <c r="G41" s="129"/>
      <c r="H41" s="129"/>
      <c r="I41" s="129"/>
    </row>
    <row r="42" spans="2:9" x14ac:dyDescent="0.25">
      <c r="B42" s="98"/>
      <c r="C42" s="98" t="s">
        <v>783</v>
      </c>
      <c r="D42" s="129"/>
      <c r="E42" s="129"/>
      <c r="F42" s="129"/>
      <c r="G42" s="129"/>
      <c r="H42" s="129"/>
      <c r="I42" s="129"/>
    </row>
    <row r="43" spans="2:9" ht="30" x14ac:dyDescent="0.25">
      <c r="B43" s="98"/>
      <c r="C43" s="98" t="s">
        <v>784</v>
      </c>
      <c r="D43" s="129"/>
      <c r="E43" s="129"/>
      <c r="F43" s="129"/>
      <c r="G43" s="129"/>
      <c r="H43" s="129"/>
      <c r="I43" s="129"/>
    </row>
    <row r="44" spans="2:9" ht="60" x14ac:dyDescent="0.25">
      <c r="B44" s="98"/>
      <c r="C44" s="98" t="s">
        <v>788</v>
      </c>
      <c r="D44" s="129"/>
      <c r="E44" s="129"/>
      <c r="F44" s="129"/>
      <c r="G44" s="129"/>
      <c r="H44" s="129"/>
      <c r="I44" s="129"/>
    </row>
    <row r="45" spans="2:9" ht="45" x14ac:dyDescent="0.25">
      <c r="B45" s="98">
        <v>3.2</v>
      </c>
      <c r="C45" s="98" t="s">
        <v>48</v>
      </c>
      <c r="D45" s="129"/>
      <c r="E45" s="129"/>
      <c r="F45" s="129"/>
      <c r="G45" s="129"/>
      <c r="H45" s="129"/>
      <c r="I45" s="129"/>
    </row>
    <row r="46" spans="2:9" ht="45" x14ac:dyDescent="0.25">
      <c r="B46" s="98">
        <v>3.3</v>
      </c>
      <c r="C46" s="98" t="s">
        <v>49</v>
      </c>
      <c r="D46" s="129"/>
      <c r="E46" s="129"/>
      <c r="F46" s="129"/>
      <c r="G46" s="129"/>
      <c r="H46" s="129"/>
      <c r="I46" s="129"/>
    </row>
    <row r="47" spans="2:9" x14ac:dyDescent="0.25">
      <c r="B47" s="4">
        <v>4</v>
      </c>
      <c r="C47" s="4" t="s">
        <v>51</v>
      </c>
      <c r="D47" s="129"/>
      <c r="E47" s="129"/>
      <c r="F47" s="129"/>
      <c r="G47" s="129"/>
      <c r="H47" s="129"/>
      <c r="I47" s="129"/>
    </row>
    <row r="48" spans="2:9" x14ac:dyDescent="0.25">
      <c r="B48" s="98">
        <v>5</v>
      </c>
      <c r="C48" s="98" t="s">
        <v>53</v>
      </c>
      <c r="D48" s="129"/>
      <c r="E48" s="129"/>
      <c r="F48" s="129"/>
      <c r="G48" s="129"/>
      <c r="H48" s="129"/>
      <c r="I48" s="129"/>
    </row>
    <row r="49" spans="2:9" x14ac:dyDescent="0.25">
      <c r="B49" s="98">
        <v>6</v>
      </c>
      <c r="C49" s="98" t="s">
        <v>55</v>
      </c>
      <c r="D49" s="129">
        <f>F49*0</f>
        <v>0</v>
      </c>
      <c r="E49" s="129">
        <f>F49-D49</f>
        <v>6.1676695602201921</v>
      </c>
      <c r="F49" s="129">
        <f>'D3'!D23</f>
        <v>6.1676695602201921</v>
      </c>
      <c r="G49" s="129">
        <f>0*I49</f>
        <v>0</v>
      </c>
      <c r="H49" s="129">
        <f>I49-G49</f>
        <v>6.7844365162422111</v>
      </c>
      <c r="I49" s="129">
        <f>'D3'!G23</f>
        <v>6.7844365162422111</v>
      </c>
    </row>
    <row r="50" spans="2:9" x14ac:dyDescent="0.25">
      <c r="B50" s="98">
        <v>6.1</v>
      </c>
      <c r="C50" s="98" t="s">
        <v>56</v>
      </c>
      <c r="D50" s="129"/>
      <c r="E50" s="129"/>
      <c r="F50" s="129"/>
      <c r="G50" s="129"/>
      <c r="H50" s="129"/>
      <c r="I50" s="129"/>
    </row>
    <row r="51" spans="2:9" x14ac:dyDescent="0.25">
      <c r="B51" s="98" t="s">
        <v>259</v>
      </c>
      <c r="C51" s="98" t="s">
        <v>789</v>
      </c>
      <c r="D51" s="129"/>
      <c r="E51" s="129"/>
      <c r="F51" s="129"/>
      <c r="G51" s="129"/>
      <c r="H51" s="129"/>
      <c r="I51" s="129"/>
    </row>
    <row r="52" spans="2:9" x14ac:dyDescent="0.25">
      <c r="B52" s="98" t="s">
        <v>261</v>
      </c>
      <c r="C52" s="98" t="s">
        <v>790</v>
      </c>
      <c r="D52" s="129"/>
      <c r="E52" s="129"/>
      <c r="F52" s="129"/>
      <c r="G52" s="129"/>
      <c r="H52" s="129"/>
      <c r="I52" s="129"/>
    </row>
    <row r="53" spans="2:9" x14ac:dyDescent="0.25">
      <c r="B53" s="98" t="s">
        <v>15</v>
      </c>
      <c r="C53" s="98" t="s">
        <v>57</v>
      </c>
      <c r="D53" s="129"/>
      <c r="E53" s="129"/>
      <c r="F53" s="129"/>
      <c r="G53" s="129"/>
      <c r="H53" s="129"/>
      <c r="I53" s="129"/>
    </row>
    <row r="54" spans="2:9" x14ac:dyDescent="0.25">
      <c r="B54" s="98" t="s">
        <v>259</v>
      </c>
      <c r="C54" s="98" t="s">
        <v>789</v>
      </c>
      <c r="D54" s="129"/>
      <c r="E54" s="129"/>
      <c r="F54" s="129"/>
      <c r="G54" s="129"/>
      <c r="H54" s="129"/>
      <c r="I54" s="129"/>
    </row>
    <row r="55" spans="2:9" x14ac:dyDescent="0.25">
      <c r="B55" s="98" t="s">
        <v>261</v>
      </c>
      <c r="C55" s="98" t="s">
        <v>790</v>
      </c>
      <c r="D55" s="129"/>
      <c r="E55" s="129"/>
      <c r="F55" s="129"/>
      <c r="G55" s="129"/>
      <c r="H55" s="129"/>
      <c r="I55" s="129"/>
    </row>
    <row r="56" spans="2:9" x14ac:dyDescent="0.25">
      <c r="B56" s="98">
        <v>7</v>
      </c>
      <c r="C56" s="98" t="s">
        <v>74</v>
      </c>
      <c r="D56" s="129"/>
      <c r="E56" s="129"/>
      <c r="F56" s="129"/>
      <c r="G56" s="129"/>
      <c r="H56" s="129"/>
      <c r="I56" s="129"/>
    </row>
    <row r="57" spans="2:9" x14ac:dyDescent="0.25">
      <c r="B57" s="98">
        <v>7.1</v>
      </c>
      <c r="C57" s="98" t="s">
        <v>59</v>
      </c>
      <c r="D57" s="129"/>
      <c r="E57" s="129"/>
      <c r="F57" s="129"/>
      <c r="G57" s="129"/>
      <c r="H57" s="129"/>
      <c r="I57" s="129"/>
    </row>
    <row r="58" spans="2:9" x14ac:dyDescent="0.25">
      <c r="B58" s="98" t="s">
        <v>259</v>
      </c>
      <c r="C58" s="98" t="s">
        <v>783</v>
      </c>
      <c r="D58" s="129"/>
      <c r="E58" s="129"/>
      <c r="F58" s="129"/>
      <c r="G58" s="129"/>
      <c r="H58" s="129"/>
      <c r="I58" s="129"/>
    </row>
    <row r="59" spans="2:9" ht="30" x14ac:dyDescent="0.25">
      <c r="B59" s="98" t="s">
        <v>261</v>
      </c>
      <c r="C59" s="98" t="s">
        <v>784</v>
      </c>
      <c r="D59" s="129"/>
      <c r="E59" s="129"/>
      <c r="F59" s="129"/>
      <c r="G59" s="129"/>
      <c r="H59" s="129"/>
      <c r="I59" s="129"/>
    </row>
    <row r="60" spans="2:9" ht="60" x14ac:dyDescent="0.25">
      <c r="B60" s="98" t="s">
        <v>777</v>
      </c>
      <c r="C60" s="98" t="s">
        <v>788</v>
      </c>
      <c r="D60" s="129"/>
      <c r="E60" s="129"/>
      <c r="F60" s="129"/>
      <c r="G60" s="129"/>
      <c r="H60" s="129"/>
      <c r="I60" s="129"/>
    </row>
    <row r="61" spans="2:9" x14ac:dyDescent="0.25">
      <c r="B61" s="98">
        <v>7.2</v>
      </c>
      <c r="C61" s="98" t="s">
        <v>60</v>
      </c>
      <c r="D61" s="129"/>
      <c r="E61" s="129"/>
      <c r="F61" s="129"/>
      <c r="G61" s="129"/>
      <c r="H61" s="129"/>
      <c r="I61" s="129"/>
    </row>
    <row r="62" spans="2:9" x14ac:dyDescent="0.25">
      <c r="B62" s="98">
        <v>8</v>
      </c>
      <c r="C62" s="98" t="s">
        <v>62</v>
      </c>
      <c r="D62" s="129"/>
      <c r="E62" s="129"/>
      <c r="F62" s="129"/>
      <c r="G62" s="129"/>
      <c r="H62" s="129"/>
      <c r="I62" s="129"/>
    </row>
    <row r="63" spans="2:9" x14ac:dyDescent="0.25">
      <c r="B63" s="98">
        <v>9</v>
      </c>
      <c r="C63" s="98" t="s">
        <v>64</v>
      </c>
      <c r="D63" s="129"/>
      <c r="E63" s="129"/>
      <c r="F63" s="129"/>
      <c r="G63" s="129"/>
      <c r="H63" s="129"/>
      <c r="I63" s="129"/>
    </row>
    <row r="64" spans="2:9" ht="30" x14ac:dyDescent="0.25">
      <c r="B64" s="98">
        <v>10</v>
      </c>
      <c r="C64" s="98" t="s">
        <v>791</v>
      </c>
      <c r="D64" s="129">
        <f>0.088*F64</f>
        <v>2.0824302511730615</v>
      </c>
      <c r="E64" s="129">
        <f>F64-D64</f>
        <v>21.581549875793545</v>
      </c>
      <c r="F64" s="129">
        <f>'D3'!D35</f>
        <v>23.663980126966607</v>
      </c>
      <c r="G64" s="129">
        <f>0.088*I64</f>
        <v>2.7281085748517806</v>
      </c>
      <c r="H64" s="129">
        <f>I64-G64</f>
        <v>28.273125230282091</v>
      </c>
      <c r="I64" s="129">
        <f>'D3'!G35</f>
        <v>31.001233805133872</v>
      </c>
    </row>
    <row r="65" spans="2:9" ht="30" x14ac:dyDescent="0.25">
      <c r="B65" s="98">
        <v>11</v>
      </c>
      <c r="C65" s="98" t="s">
        <v>68</v>
      </c>
      <c r="D65" s="129"/>
      <c r="E65" s="129"/>
      <c r="F65" s="129"/>
      <c r="G65" s="129"/>
      <c r="H65" s="129"/>
      <c r="I65" s="129"/>
    </row>
    <row r="66" spans="2:9" x14ac:dyDescent="0.25">
      <c r="B66" s="98">
        <v>12</v>
      </c>
      <c r="C66" s="98" t="s">
        <v>70</v>
      </c>
      <c r="D66" s="129"/>
      <c r="E66" s="129"/>
      <c r="F66" s="129"/>
      <c r="G66" s="129"/>
      <c r="H66" s="129"/>
      <c r="I66" s="129"/>
    </row>
    <row r="67" spans="2:9" x14ac:dyDescent="0.25">
      <c r="B67" s="98">
        <v>12.1</v>
      </c>
      <c r="C67" s="98" t="s">
        <v>792</v>
      </c>
      <c r="D67" s="129"/>
      <c r="E67" s="129"/>
      <c r="F67" s="129"/>
      <c r="G67" s="129"/>
      <c r="H67" s="129"/>
      <c r="I67" s="129"/>
    </row>
    <row r="68" spans="2:9" x14ac:dyDescent="0.25">
      <c r="B68" s="98" t="s">
        <v>10</v>
      </c>
      <c r="C68" s="98" t="s">
        <v>793</v>
      </c>
      <c r="D68" s="129"/>
      <c r="E68" s="129"/>
      <c r="F68" s="129"/>
      <c r="G68" s="129"/>
      <c r="H68" s="129"/>
      <c r="I68" s="129"/>
    </row>
    <row r="69" spans="2:9" ht="30" x14ac:dyDescent="0.25">
      <c r="B69" s="98" t="s">
        <v>21</v>
      </c>
      <c r="C69" s="4" t="s">
        <v>794</v>
      </c>
      <c r="D69" s="129"/>
      <c r="E69" s="129"/>
      <c r="F69" s="129"/>
      <c r="G69" s="129"/>
      <c r="H69" s="129"/>
      <c r="I69" s="129"/>
    </row>
    <row r="70" spans="2:9" ht="75" x14ac:dyDescent="0.25">
      <c r="B70" s="15">
        <v>12.2</v>
      </c>
      <c r="C70" s="59" t="s">
        <v>795</v>
      </c>
      <c r="D70" s="129"/>
      <c r="E70" s="129"/>
      <c r="F70" s="129"/>
      <c r="G70" s="129"/>
      <c r="H70" s="129"/>
      <c r="I70" s="129"/>
    </row>
    <row r="71" spans="2:9" ht="60" x14ac:dyDescent="0.25">
      <c r="B71" s="15">
        <v>12.3</v>
      </c>
      <c r="C71" s="59" t="s">
        <v>796</v>
      </c>
      <c r="D71" s="129"/>
      <c r="E71" s="129"/>
      <c r="F71" s="129"/>
      <c r="G71" s="129"/>
      <c r="H71" s="129"/>
      <c r="I71" s="129"/>
    </row>
    <row r="72" spans="2:9" ht="30" x14ac:dyDescent="0.25">
      <c r="B72" s="15">
        <v>12.4</v>
      </c>
      <c r="C72" s="59" t="s">
        <v>797</v>
      </c>
      <c r="D72" s="129"/>
      <c r="E72" s="129"/>
      <c r="F72" s="129"/>
      <c r="G72" s="129"/>
      <c r="H72" s="129"/>
      <c r="I72" s="129"/>
    </row>
    <row r="73" spans="2:9" x14ac:dyDescent="0.25">
      <c r="B73" s="15">
        <v>12.5</v>
      </c>
      <c r="C73" s="59" t="s">
        <v>798</v>
      </c>
      <c r="D73" s="129"/>
      <c r="E73" s="129"/>
      <c r="F73" s="129"/>
      <c r="G73" s="129"/>
      <c r="H73" s="129"/>
      <c r="I73" s="129"/>
    </row>
    <row r="74" spans="2:9" ht="30" x14ac:dyDescent="0.25">
      <c r="B74" s="118" t="s">
        <v>10</v>
      </c>
      <c r="C74" s="59" t="s">
        <v>799</v>
      </c>
      <c r="D74" s="129"/>
      <c r="E74" s="129"/>
      <c r="F74" s="129"/>
      <c r="G74" s="129"/>
      <c r="H74" s="129"/>
      <c r="I74" s="129"/>
    </row>
    <row r="75" spans="2:9" x14ac:dyDescent="0.25">
      <c r="B75" s="118" t="s">
        <v>21</v>
      </c>
      <c r="C75" s="59" t="s">
        <v>800</v>
      </c>
      <c r="D75" s="129"/>
      <c r="E75" s="129"/>
      <c r="F75" s="129"/>
      <c r="G75" s="129"/>
      <c r="H75" s="129"/>
      <c r="I75" s="129"/>
    </row>
    <row r="76" spans="2:9" x14ac:dyDescent="0.25">
      <c r="B76" s="118">
        <v>13</v>
      </c>
      <c r="C76" s="118" t="s">
        <v>72</v>
      </c>
      <c r="D76" s="129">
        <f>0.0287*F76</f>
        <v>8.3431841073244417E-2</v>
      </c>
      <c r="E76" s="129">
        <f>F76-D76</f>
        <v>2.823600948935272</v>
      </c>
      <c r="F76" s="129">
        <f>'D3'!D41</f>
        <v>2.9070327900085164</v>
      </c>
      <c r="G76" s="129">
        <f>0.0287*I76</f>
        <v>0.1093007177164146</v>
      </c>
      <c r="H76" s="129">
        <f>I76-G76</f>
        <v>3.699086659162143</v>
      </c>
      <c r="I76" s="129">
        <f>'D3'!G41</f>
        <v>3.8083873768785574</v>
      </c>
    </row>
    <row r="77" spans="2:9" x14ac:dyDescent="0.25">
      <c r="B77" s="118">
        <v>14</v>
      </c>
      <c r="C77" s="118" t="s">
        <v>73</v>
      </c>
      <c r="D77" s="129">
        <f t="shared" ref="D77:I77" si="0">SUM(D7:D76)</f>
        <v>81.003752194818659</v>
      </c>
      <c r="E77" s="129">
        <f t="shared" si="0"/>
        <v>896.96118180598785</v>
      </c>
      <c r="F77" s="129">
        <f t="shared" si="0"/>
        <v>977.96493400080669</v>
      </c>
      <c r="G77" s="129">
        <f t="shared" si="0"/>
        <v>105.43276949806962</v>
      </c>
      <c r="H77" s="129">
        <f t="shared" si="0"/>
        <v>1147.5335366152092</v>
      </c>
      <c r="I77" s="129">
        <f t="shared" si="0"/>
        <v>1252.9663061132787</v>
      </c>
    </row>
    <row r="78" spans="2:9" x14ac:dyDescent="0.25">
      <c r="E78" s="130"/>
      <c r="G78" s="130"/>
    </row>
  </sheetData>
  <mergeCells count="5">
    <mergeCell ref="G4:I4"/>
    <mergeCell ref="B4:B5"/>
    <mergeCell ref="C4:C5"/>
    <mergeCell ref="B2:I2"/>
    <mergeCell ref="D4:F4"/>
  </mergeCells>
  <pageMargins left="0.7" right="0.7" top="0.75" bottom="0.75" header="0.3" footer="0.3"/>
  <pageSetup paperSize="9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69"/>
  <sheetViews>
    <sheetView topLeftCell="A31" workbookViewId="0">
      <selection activeCell="M51" sqref="M51"/>
    </sheetView>
  </sheetViews>
  <sheetFormatPr defaultRowHeight="15" x14ac:dyDescent="0.25"/>
  <cols>
    <col min="1" max="1" width="5" style="218" customWidth="1"/>
    <col min="2" max="2" width="6.7109375" style="218" customWidth="1"/>
    <col min="3" max="3" width="27.5703125" style="218" customWidth="1"/>
    <col min="4" max="4" width="13.42578125" style="218" customWidth="1"/>
    <col min="5" max="5" width="12.85546875" style="218" customWidth="1"/>
    <col min="6" max="7" width="12.5703125" style="218" bestFit="1" customWidth="1"/>
    <col min="8" max="8" width="12.42578125" style="218" customWidth="1"/>
    <col min="9" max="16384" width="9.140625" style="218"/>
  </cols>
  <sheetData>
    <row r="1" spans="2:9" x14ac:dyDescent="0.25">
      <c r="B1" s="308" t="s">
        <v>910</v>
      </c>
      <c r="C1" s="309"/>
      <c r="D1" s="309"/>
      <c r="E1" s="309"/>
      <c r="F1" s="309"/>
      <c r="G1" s="309"/>
      <c r="H1" s="309"/>
      <c r="I1" s="310"/>
    </row>
    <row r="3" spans="2:9" x14ac:dyDescent="0.25">
      <c r="B3" s="18" t="s">
        <v>5</v>
      </c>
      <c r="C3" s="18" t="s">
        <v>6</v>
      </c>
      <c r="D3" s="18" t="s">
        <v>7</v>
      </c>
      <c r="E3" s="18" t="s">
        <v>924</v>
      </c>
      <c r="F3" s="18" t="s">
        <v>866</v>
      </c>
      <c r="G3" s="18" t="s">
        <v>869</v>
      </c>
    </row>
    <row r="4" spans="2:9" x14ac:dyDescent="0.25">
      <c r="B4" s="18"/>
      <c r="C4" s="18"/>
      <c r="D4" s="18"/>
      <c r="E4" s="18" t="s">
        <v>911</v>
      </c>
      <c r="F4" s="18" t="s">
        <v>912</v>
      </c>
      <c r="G4" s="18" t="s">
        <v>913</v>
      </c>
    </row>
    <row r="5" spans="2:9" ht="30" x14ac:dyDescent="0.25">
      <c r="B5" s="16" t="s">
        <v>948</v>
      </c>
      <c r="C5" s="16" t="s">
        <v>914</v>
      </c>
      <c r="D5" s="16" t="s">
        <v>14</v>
      </c>
      <c r="E5" s="76">
        <f>'Energy Balance'!E22</f>
        <v>1425.6887440943999</v>
      </c>
      <c r="F5" s="76">
        <f>'Energy Balance'!F22</f>
        <v>1458.3200386816604</v>
      </c>
      <c r="G5" s="76">
        <f>'Energy Balance'!G22</f>
        <v>1499.8041274884135</v>
      </c>
    </row>
    <row r="6" spans="2:9" x14ac:dyDescent="0.25">
      <c r="B6" s="214" t="s">
        <v>949</v>
      </c>
      <c r="C6" s="214" t="s">
        <v>915</v>
      </c>
      <c r="D6" s="214" t="s">
        <v>14</v>
      </c>
      <c r="E6" s="215">
        <f>'Energy Balance'!E18</f>
        <v>1307.23</v>
      </c>
      <c r="F6" s="215">
        <f>'Energy Balance'!F18</f>
        <v>1337.15</v>
      </c>
      <c r="G6" s="215">
        <f>'Energy Balance'!G18</f>
        <v>1375.1872263128855</v>
      </c>
    </row>
    <row r="7" spans="2:9" x14ac:dyDescent="0.25">
      <c r="B7" s="214" t="s">
        <v>950</v>
      </c>
      <c r="C7" s="214" t="s">
        <v>916</v>
      </c>
      <c r="D7" s="214" t="s">
        <v>17</v>
      </c>
      <c r="E7" s="216">
        <f>'T2'!D25</f>
        <v>9.5834786015794093E-2</v>
      </c>
      <c r="F7" s="216">
        <f>'AT&amp;C Loss'!E7</f>
        <v>8.3088783989555243E-2</v>
      </c>
      <c r="G7" s="216">
        <f>'AT&amp;C Loss'!D7</f>
        <v>8.3088783989555243E-2</v>
      </c>
    </row>
    <row r="8" spans="2:9" ht="30" x14ac:dyDescent="0.25">
      <c r="B8" s="214" t="s">
        <v>951</v>
      </c>
      <c r="C8" s="214" t="s">
        <v>917</v>
      </c>
      <c r="D8" s="214" t="s">
        <v>193</v>
      </c>
      <c r="E8" s="215">
        <f>'T6'!H79</f>
        <v>4.8107143612429653</v>
      </c>
      <c r="F8" s="215">
        <f>'Power Purchase Cost 2015-16'!F81</f>
        <v>4.8518758425986777</v>
      </c>
      <c r="G8" s="215">
        <f>'Power Purchase Cost 2015-16'!I81</f>
        <v>4.8523362257452831</v>
      </c>
    </row>
    <row r="9" spans="2:9" ht="45" x14ac:dyDescent="0.25">
      <c r="B9" s="214" t="s">
        <v>952</v>
      </c>
      <c r="C9" s="214" t="s">
        <v>918</v>
      </c>
      <c r="D9" s="214" t="s">
        <v>211</v>
      </c>
      <c r="E9" s="215">
        <f>'T7'!D30</f>
        <v>926.96376000000009</v>
      </c>
      <c r="F9" s="215">
        <f>'Total PPC'!L19</f>
        <v>865.14214540400872</v>
      </c>
      <c r="G9" s="215">
        <f>'Total PPC'!E19</f>
        <v>875.45300214257099</v>
      </c>
    </row>
    <row r="10" spans="2:9" x14ac:dyDescent="0.25">
      <c r="B10" s="214" t="s">
        <v>953</v>
      </c>
      <c r="C10" s="214" t="s">
        <v>255</v>
      </c>
      <c r="D10" s="214" t="s">
        <v>211</v>
      </c>
      <c r="E10" s="215">
        <f>'T8'!D12</f>
        <v>148.1172</v>
      </c>
      <c r="F10" s="215">
        <f>'O&amp;M'!F16</f>
        <v>145.09439999999998</v>
      </c>
      <c r="G10" s="215">
        <f>'O&amp;M'!D16</f>
        <v>145.09439999999998</v>
      </c>
    </row>
    <row r="11" spans="2:9" ht="45" x14ac:dyDescent="0.25">
      <c r="B11" s="214" t="s">
        <v>954</v>
      </c>
      <c r="C11" s="214" t="s">
        <v>919</v>
      </c>
      <c r="D11" s="214" t="s">
        <v>211</v>
      </c>
      <c r="E11" s="215">
        <f>'T10'!D59</f>
        <v>39.104478</v>
      </c>
      <c r="F11" s="215">
        <f>'T10'!F59</f>
        <v>39.341195999999997</v>
      </c>
      <c r="G11" s="215">
        <f>Dep!D28</f>
        <v>39.878459999999997</v>
      </c>
    </row>
    <row r="12" spans="2:9" x14ac:dyDescent="0.25">
      <c r="B12" s="214" t="s">
        <v>955</v>
      </c>
      <c r="C12" s="214" t="s">
        <v>920</v>
      </c>
      <c r="D12" s="214" t="s">
        <v>211</v>
      </c>
      <c r="E12" s="215">
        <f>'T12'!D64</f>
        <v>100.25202167318743</v>
      </c>
      <c r="F12" s="215">
        <f>'T12'!F64</f>
        <v>105.83073312707523</v>
      </c>
      <c r="G12" s="215">
        <f>RoCE!D15</f>
        <v>89.901148774573912</v>
      </c>
    </row>
    <row r="13" spans="2:9" x14ac:dyDescent="0.25">
      <c r="B13" s="214" t="s">
        <v>956</v>
      </c>
      <c r="C13" s="214" t="s">
        <v>510</v>
      </c>
      <c r="D13" s="214" t="s">
        <v>211</v>
      </c>
      <c r="E13" s="214">
        <f>'T8'!D18</f>
        <v>143.54</v>
      </c>
      <c r="F13" s="215">
        <f>'O&amp;M'!F24</f>
        <v>45.37</v>
      </c>
      <c r="G13" s="215">
        <f>'O&amp;M'!D24</f>
        <v>45.37</v>
      </c>
    </row>
    <row r="14" spans="2:9" x14ac:dyDescent="0.25">
      <c r="B14" s="214" t="s">
        <v>957</v>
      </c>
      <c r="C14" s="214" t="s">
        <v>376</v>
      </c>
      <c r="D14" s="214" t="s">
        <v>211</v>
      </c>
      <c r="E14" s="215">
        <f>'T14'!E11</f>
        <v>20.456088551973529</v>
      </c>
      <c r="F14" s="215">
        <f>'Income Tax'!D14</f>
        <v>0</v>
      </c>
      <c r="G14" s="215">
        <f>'Income Tax'!D14</f>
        <v>0</v>
      </c>
    </row>
    <row r="15" spans="2:9" x14ac:dyDescent="0.25">
      <c r="B15" s="214" t="s">
        <v>958</v>
      </c>
      <c r="C15" s="214" t="s">
        <v>921</v>
      </c>
      <c r="D15" s="214" t="s">
        <v>211</v>
      </c>
      <c r="E15" s="215">
        <f>'T9'!D18</f>
        <v>6.8886004829999994</v>
      </c>
      <c r="F15" s="214">
        <f>NTI!F18</f>
        <v>4.1500000000000004</v>
      </c>
      <c r="G15" s="215">
        <f>NTI!D18</f>
        <v>7.5774605312999999</v>
      </c>
    </row>
    <row r="16" spans="2:9" x14ac:dyDescent="0.25">
      <c r="B16" s="214" t="s">
        <v>959</v>
      </c>
      <c r="C16" s="214" t="s">
        <v>923</v>
      </c>
      <c r="D16" s="214" t="s">
        <v>211</v>
      </c>
      <c r="E16" s="215">
        <f>-('D1'!D12)</f>
        <v>66.019768990348553</v>
      </c>
      <c r="F16" s="215">
        <f>ARR!F17</f>
        <v>31.618771045348467</v>
      </c>
      <c r="G16" s="215">
        <f>ARR!D17</f>
        <v>64.855375299142679</v>
      </c>
      <c r="H16" s="219"/>
    </row>
    <row r="17" spans="2:9" ht="45" x14ac:dyDescent="0.25">
      <c r="B17" s="214" t="s">
        <v>960</v>
      </c>
      <c r="C17" s="214" t="s">
        <v>992</v>
      </c>
      <c r="D17" s="214" t="s">
        <v>211</v>
      </c>
      <c r="E17" s="215">
        <f>'T14'!E17+E16</f>
        <v>1437.5647167325096</v>
      </c>
      <c r="F17" s="215">
        <f>ARR!F16+F16</f>
        <v>1228.2472455764323</v>
      </c>
      <c r="G17" s="215">
        <f>ARR!D16+G16</f>
        <v>1252.9749256849873</v>
      </c>
      <c r="I17" s="219"/>
    </row>
    <row r="18" spans="2:9" ht="30" x14ac:dyDescent="0.25">
      <c r="B18" s="214" t="s">
        <v>961</v>
      </c>
      <c r="C18" s="214" t="s">
        <v>922</v>
      </c>
      <c r="D18" s="214" t="s">
        <v>211</v>
      </c>
      <c r="E18" s="214">
        <f>'T3'!D17</f>
        <v>918.92</v>
      </c>
      <c r="F18" s="215">
        <f>'Estd Revenue FY''15-16'!F42</f>
        <v>946.78949977363845</v>
      </c>
      <c r="G18" s="215">
        <f>'Estd Revenue FY''15-16'!I42</f>
        <v>977.96493400080669</v>
      </c>
    </row>
    <row r="19" spans="2:9" ht="30" x14ac:dyDescent="0.25">
      <c r="B19" s="233" t="s">
        <v>963</v>
      </c>
      <c r="C19" s="214" t="s">
        <v>962</v>
      </c>
      <c r="D19" s="214" t="s">
        <v>211</v>
      </c>
      <c r="E19" s="217">
        <f>E18-(E17)</f>
        <v>-518.64471673250966</v>
      </c>
      <c r="F19" s="215">
        <f>F18-(F17)</f>
        <v>-281.45774580279385</v>
      </c>
      <c r="G19" s="215">
        <f>G18-(G17)</f>
        <v>-275.00999168418059</v>
      </c>
    </row>
    <row r="20" spans="2:9" ht="60" customHeight="1" x14ac:dyDescent="0.25">
      <c r="B20" s="234"/>
      <c r="C20" s="311" t="s">
        <v>991</v>
      </c>
      <c r="D20" s="311"/>
      <c r="E20" s="311"/>
      <c r="F20" s="311"/>
      <c r="G20" s="116">
        <f>'D1'!D8+'D1'!D12+'D1'!D5</f>
        <v>-640.10471673250981</v>
      </c>
    </row>
    <row r="21" spans="2:9" x14ac:dyDescent="0.25">
      <c r="E21" s="219"/>
    </row>
    <row r="22" spans="2:9" ht="18.75" customHeight="1" x14ac:dyDescent="0.25">
      <c r="B22" s="305" t="s">
        <v>759</v>
      </c>
      <c r="C22" s="306"/>
      <c r="D22" s="306"/>
      <c r="E22" s="306"/>
      <c r="F22" s="306"/>
      <c r="G22" s="306"/>
      <c r="H22" s="306"/>
      <c r="I22" s="307"/>
    </row>
    <row r="23" spans="2:9" x14ac:dyDescent="0.25">
      <c r="B23" s="96"/>
      <c r="C23" s="96"/>
      <c r="D23" s="96"/>
      <c r="E23" s="96"/>
      <c r="F23" s="96"/>
      <c r="G23" s="96"/>
      <c r="H23" s="96"/>
      <c r="I23" s="96"/>
    </row>
    <row r="24" spans="2:9" ht="60" x14ac:dyDescent="0.25">
      <c r="B24" s="221" t="str">
        <f>'D3'!B4</f>
        <v>S. No.</v>
      </c>
      <c r="C24" s="221" t="str">
        <f>'D3'!C4</f>
        <v>Category</v>
      </c>
      <c r="D24" s="221" t="str">
        <f>'D3'!D4</f>
        <v>Revenue at Current Tariff</v>
      </c>
      <c r="E24" s="221" t="str">
        <f>'D3'!E4</f>
        <v>Avg Billing Rate as per Current Tariff</v>
      </c>
      <c r="F24" s="221" t="str">
        <f>'D3'!F4</f>
        <v>Hike in Tariff</v>
      </c>
      <c r="G24" s="221" t="str">
        <f>'D3'!G4</f>
        <v>Revised Revenue proposed</v>
      </c>
      <c r="H24" s="221" t="str">
        <f>'D3'!H4</f>
        <v>Avg Billing Rate as per Revised Tariff</v>
      </c>
      <c r="I24" s="7"/>
    </row>
    <row r="25" spans="2:9" x14ac:dyDescent="0.25">
      <c r="B25" s="204"/>
      <c r="C25" s="204"/>
      <c r="D25" s="203" t="str">
        <f>'D3'!D5</f>
        <v>Rs. Crore</v>
      </c>
      <c r="E25" s="203" t="s">
        <v>758</v>
      </c>
      <c r="F25" s="203" t="str">
        <f>'D3'!F5</f>
        <v>%</v>
      </c>
      <c r="G25" s="203" t="str">
        <f>'D3'!G5</f>
        <v>Rs. Crore</v>
      </c>
      <c r="H25" s="203" t="str">
        <f>'D3'!H5</f>
        <v>Rs/unit</v>
      </c>
      <c r="I25" s="7"/>
    </row>
    <row r="26" spans="2:9" x14ac:dyDescent="0.25">
      <c r="B26" s="204" t="str">
        <f>'D3'!B6</f>
        <v>A</v>
      </c>
      <c r="C26" s="204" t="str">
        <f>'D3'!C6</f>
        <v>Domestic</v>
      </c>
      <c r="D26" s="78">
        <f>'D3'!D6</f>
        <v>128.20553487574054</v>
      </c>
      <c r="E26" s="78">
        <f>'D3'!E6</f>
        <v>4.7488275971703358</v>
      </c>
      <c r="F26" s="123">
        <f>'D3'!F6</f>
        <v>0.1</v>
      </c>
      <c r="G26" s="78">
        <f>'D3'!G6</f>
        <v>141.02608836331461</v>
      </c>
      <c r="H26" s="78">
        <f>'D3'!H6</f>
        <v>5.22371035688737</v>
      </c>
      <c r="I26" s="115"/>
    </row>
    <row r="27" spans="2:9" x14ac:dyDescent="0.25">
      <c r="B27" s="204" t="str">
        <f>'D3'!B10</f>
        <v>B</v>
      </c>
      <c r="C27" s="204" t="str">
        <f>'D3'!C10</f>
        <v>Non- Domestic</v>
      </c>
      <c r="D27" s="78">
        <f>'D3'!D10</f>
        <v>816.9077457819119</v>
      </c>
      <c r="E27" s="78">
        <f>'D3'!E10</f>
        <v>7.8113294243389833</v>
      </c>
      <c r="F27" s="123">
        <f>'D3'!F10</f>
        <v>0.31006</v>
      </c>
      <c r="G27" s="78">
        <f>'D3'!G10</f>
        <v>1070.1981614390515</v>
      </c>
      <c r="H27" s="78">
        <f>'D3'!H10</f>
        <v>10.233310225649529</v>
      </c>
      <c r="I27" s="115"/>
    </row>
    <row r="28" spans="2:9" x14ac:dyDescent="0.25">
      <c r="B28" s="204" t="str">
        <f>'D3'!B14</f>
        <v>C</v>
      </c>
      <c r="C28" s="204" t="str">
        <f>'D3'!C14</f>
        <v>Industrial</v>
      </c>
      <c r="D28" s="78">
        <f>'D3'!D14</f>
        <v>0.1129708659588096</v>
      </c>
      <c r="E28" s="78">
        <f>'D3'!E14</f>
        <v>6.1904761904761907</v>
      </c>
      <c r="F28" s="123">
        <f>'D3'!F14</f>
        <v>0.31006</v>
      </c>
      <c r="G28" s="78">
        <f>'D3'!G14</f>
        <v>0.1479986126579981</v>
      </c>
      <c r="H28" s="78">
        <f>'D3'!H14</f>
        <v>8.1098952380952376</v>
      </c>
      <c r="I28" s="115"/>
    </row>
    <row r="29" spans="2:9" x14ac:dyDescent="0.25">
      <c r="B29" s="204" t="s">
        <v>50</v>
      </c>
      <c r="C29" s="204" t="str">
        <f>'D3'!C23</f>
        <v>Public Lighting</v>
      </c>
      <c r="D29" s="78">
        <f>'D3'!D23</f>
        <v>6.1676695602201921</v>
      </c>
      <c r="E29" s="78">
        <f>'D3'!E23</f>
        <v>7.427884615384615</v>
      </c>
      <c r="F29" s="123">
        <f>'D3'!F23</f>
        <v>0.1</v>
      </c>
      <c r="G29" s="78">
        <f>'D3'!G23</f>
        <v>6.7844365162422111</v>
      </c>
      <c r="H29" s="78">
        <f>'D3'!H23</f>
        <v>8.1706730769230766</v>
      </c>
      <c r="I29" s="115"/>
    </row>
    <row r="30" spans="2:9" x14ac:dyDescent="0.25">
      <c r="B30" s="204" t="s">
        <v>52</v>
      </c>
      <c r="C30" s="204" t="str">
        <f>'D3'!C35</f>
        <v>DMRC</v>
      </c>
      <c r="D30" s="78">
        <f>'D3'!D35</f>
        <v>23.663980126966607</v>
      </c>
      <c r="E30" s="78">
        <f>'D3'!E35</f>
        <v>5.7576593982887116</v>
      </c>
      <c r="F30" s="123">
        <f>'D3'!F35</f>
        <v>0.31006</v>
      </c>
      <c r="G30" s="78">
        <f>'D3'!G35</f>
        <v>31.001233805133872</v>
      </c>
      <c r="H30" s="78">
        <f>'D3'!H35</f>
        <v>7.5428792713221098</v>
      </c>
      <c r="I30" s="115"/>
    </row>
    <row r="31" spans="2:9" x14ac:dyDescent="0.25">
      <c r="B31" s="204" t="s">
        <v>54</v>
      </c>
      <c r="C31" s="204" t="str">
        <f>'D3'!C41</f>
        <v>Others</v>
      </c>
      <c r="D31" s="78">
        <f>'D3'!D41</f>
        <v>2.9070327900085164</v>
      </c>
      <c r="E31" s="78">
        <f>'D3'!E41</f>
        <v>2.9568788501026693</v>
      </c>
      <c r="F31" s="123">
        <f>'D3'!F41</f>
        <v>0.31006</v>
      </c>
      <c r="G31" s="78">
        <f>'D3'!G41</f>
        <v>3.8083873768785574</v>
      </c>
      <c r="H31" s="78">
        <f>'D3'!H41</f>
        <v>3.873688706365503</v>
      </c>
      <c r="I31" s="115"/>
    </row>
    <row r="32" spans="2:9" x14ac:dyDescent="0.25">
      <c r="B32" s="204"/>
      <c r="C32" s="203" t="str">
        <f>'D3'!C42</f>
        <v>Total</v>
      </c>
      <c r="D32" s="78">
        <f>'D3'!D42</f>
        <v>977.96493400080669</v>
      </c>
      <c r="E32" s="78"/>
      <c r="F32" s="123">
        <f>'D3'!F42</f>
        <v>0.28120639311588419</v>
      </c>
      <c r="G32" s="78">
        <f>'D3'!G42</f>
        <v>1252.9663061132787</v>
      </c>
      <c r="H32" s="78"/>
      <c r="I32" s="115"/>
    </row>
    <row r="35" spans="2:8" ht="15" customHeight="1" x14ac:dyDescent="0.25">
      <c r="B35" s="279" t="s">
        <v>100</v>
      </c>
      <c r="C35" s="279" t="s">
        <v>993</v>
      </c>
      <c r="D35" s="301" t="s">
        <v>1035</v>
      </c>
      <c r="E35" s="302"/>
      <c r="F35" s="244" t="s">
        <v>1000</v>
      </c>
      <c r="G35" s="279" t="s">
        <v>1034</v>
      </c>
      <c r="H35" s="279"/>
    </row>
    <row r="36" spans="2:8" ht="21" customHeight="1" x14ac:dyDescent="0.25">
      <c r="B36" s="279"/>
      <c r="C36" s="279"/>
      <c r="D36" s="303"/>
      <c r="E36" s="304"/>
      <c r="F36" s="244"/>
      <c r="G36" s="279"/>
      <c r="H36" s="279"/>
    </row>
    <row r="37" spans="2:8" x14ac:dyDescent="0.25">
      <c r="B37" s="279"/>
      <c r="C37" s="279"/>
      <c r="D37" s="279" t="s">
        <v>97</v>
      </c>
      <c r="E37" s="279" t="s">
        <v>98</v>
      </c>
      <c r="F37" s="244"/>
      <c r="G37" s="279" t="s">
        <v>97</v>
      </c>
      <c r="H37" s="279" t="s">
        <v>98</v>
      </c>
    </row>
    <row r="38" spans="2:8" x14ac:dyDescent="0.25">
      <c r="B38" s="279"/>
      <c r="C38" s="279"/>
      <c r="D38" s="279"/>
      <c r="E38" s="279"/>
      <c r="F38" s="244"/>
      <c r="G38" s="279"/>
      <c r="H38" s="279"/>
    </row>
    <row r="39" spans="2:8" x14ac:dyDescent="0.25">
      <c r="B39" s="207">
        <v>1</v>
      </c>
      <c r="C39" s="208" t="s">
        <v>40</v>
      </c>
      <c r="D39" s="213"/>
      <c r="E39" s="213"/>
      <c r="F39" s="207"/>
      <c r="G39" s="207"/>
      <c r="H39" s="207"/>
    </row>
    <row r="40" spans="2:8" ht="30" x14ac:dyDescent="0.25">
      <c r="B40" s="207">
        <v>1.1000000000000001</v>
      </c>
      <c r="C40" s="213" t="s">
        <v>40</v>
      </c>
      <c r="D40" s="208" t="s">
        <v>996</v>
      </c>
      <c r="E40" s="208" t="s">
        <v>997</v>
      </c>
      <c r="F40" s="206" t="s">
        <v>17</v>
      </c>
      <c r="G40" s="208" t="s">
        <v>996</v>
      </c>
      <c r="H40" s="208" t="s">
        <v>997</v>
      </c>
    </row>
    <row r="41" spans="2:8" x14ac:dyDescent="0.25">
      <c r="B41" s="213"/>
      <c r="C41" s="213" t="s">
        <v>770</v>
      </c>
      <c r="D41" s="213">
        <v>20</v>
      </c>
      <c r="E41" s="213">
        <v>325</v>
      </c>
      <c r="F41" s="123">
        <f>'D3'!F6</f>
        <v>0.1</v>
      </c>
      <c r="G41" s="226">
        <f>D41*(100%+F41)</f>
        <v>22</v>
      </c>
      <c r="H41" s="226">
        <f>E41*(100%+F41)</f>
        <v>357.50000000000006</v>
      </c>
    </row>
    <row r="42" spans="2:8" x14ac:dyDescent="0.25">
      <c r="B42" s="213"/>
      <c r="C42" s="213" t="s">
        <v>771</v>
      </c>
      <c r="D42" s="213">
        <v>20</v>
      </c>
      <c r="E42" s="213">
        <v>460</v>
      </c>
      <c r="F42" s="123">
        <f>F41</f>
        <v>0.1</v>
      </c>
      <c r="G42" s="226">
        <f>D42*(100%+F42)</f>
        <v>22</v>
      </c>
      <c r="H42" s="226">
        <f>E42*(100%+F42)</f>
        <v>506.00000000000006</v>
      </c>
    </row>
    <row r="43" spans="2:8" x14ac:dyDescent="0.25">
      <c r="B43" s="213"/>
      <c r="C43" s="213" t="s">
        <v>772</v>
      </c>
      <c r="D43" s="213">
        <v>20</v>
      </c>
      <c r="E43" s="213">
        <v>600</v>
      </c>
      <c r="F43" s="123">
        <f>F41</f>
        <v>0.1</v>
      </c>
      <c r="G43" s="226">
        <f>D43*(100%+F43)</f>
        <v>22</v>
      </c>
      <c r="H43" s="226">
        <f>E43*(100%+F43)</f>
        <v>660</v>
      </c>
    </row>
    <row r="44" spans="2:8" x14ac:dyDescent="0.25">
      <c r="B44" s="213"/>
      <c r="C44" s="213" t="s">
        <v>773</v>
      </c>
      <c r="D44" s="213">
        <v>20</v>
      </c>
      <c r="E44" s="213">
        <v>675</v>
      </c>
      <c r="F44" s="123">
        <f>F41</f>
        <v>0.1</v>
      </c>
      <c r="G44" s="226">
        <f>D44*(100%+F44)</f>
        <v>22</v>
      </c>
      <c r="H44" s="226">
        <f>E44*(100%+F44)</f>
        <v>742.50000000000011</v>
      </c>
    </row>
    <row r="45" spans="2:8" x14ac:dyDescent="0.25">
      <c r="B45" s="213"/>
      <c r="C45" s="213" t="s">
        <v>774</v>
      </c>
      <c r="D45" s="213">
        <v>20</v>
      </c>
      <c r="E45" s="213">
        <v>800</v>
      </c>
      <c r="F45" s="123">
        <f>F41</f>
        <v>0.1</v>
      </c>
      <c r="G45" s="226">
        <f>D45*(100%+F45)</f>
        <v>22</v>
      </c>
      <c r="H45" s="226">
        <f>E45*(100%+F45)</f>
        <v>880.00000000000011</v>
      </c>
    </row>
    <row r="46" spans="2:8" ht="30" x14ac:dyDescent="0.25">
      <c r="B46" s="213">
        <v>1.2</v>
      </c>
      <c r="C46" s="213" t="s">
        <v>998</v>
      </c>
      <c r="D46" s="213"/>
      <c r="E46" s="213"/>
      <c r="F46" s="207"/>
      <c r="G46" s="226"/>
      <c r="H46" s="226"/>
    </row>
    <row r="47" spans="2:8" x14ac:dyDescent="0.25">
      <c r="B47" s="213"/>
      <c r="C47" s="213" t="s">
        <v>999</v>
      </c>
      <c r="D47" s="213">
        <v>25</v>
      </c>
      <c r="E47" s="213">
        <v>460</v>
      </c>
      <c r="F47" s="123">
        <f>F41</f>
        <v>0.1</v>
      </c>
      <c r="G47" s="226">
        <f>D47*(100%+F47)</f>
        <v>27.500000000000004</v>
      </c>
      <c r="H47" s="226">
        <f>E47*(100%+F47)</f>
        <v>506.00000000000006</v>
      </c>
    </row>
    <row r="48" spans="2:8" x14ac:dyDescent="0.25">
      <c r="B48" s="213"/>
      <c r="C48" s="213" t="s">
        <v>780</v>
      </c>
      <c r="D48" s="213">
        <v>25</v>
      </c>
      <c r="E48" s="213">
        <v>600</v>
      </c>
      <c r="F48" s="123">
        <f>F41</f>
        <v>0.1</v>
      </c>
      <c r="G48" s="226">
        <f>D48*(100%+F48)</f>
        <v>27.500000000000004</v>
      </c>
      <c r="H48" s="226">
        <f>E48*(100%+F48)</f>
        <v>660</v>
      </c>
    </row>
    <row r="49" spans="2:8" x14ac:dyDescent="0.25">
      <c r="B49" s="213"/>
      <c r="C49" s="213" t="s">
        <v>781</v>
      </c>
      <c r="D49" s="213">
        <v>25</v>
      </c>
      <c r="E49" s="213">
        <v>675</v>
      </c>
      <c r="F49" s="123">
        <f>F41</f>
        <v>0.1</v>
      </c>
      <c r="G49" s="226">
        <f>D49*(100%+F49)</f>
        <v>27.500000000000004</v>
      </c>
      <c r="H49" s="226">
        <f>E49*(100%+F49)</f>
        <v>742.50000000000011</v>
      </c>
    </row>
    <row r="50" spans="2:8" x14ac:dyDescent="0.25">
      <c r="B50" s="213"/>
      <c r="C50" s="213" t="s">
        <v>782</v>
      </c>
      <c r="D50" s="213">
        <v>25</v>
      </c>
      <c r="E50" s="213">
        <v>800</v>
      </c>
      <c r="F50" s="123">
        <f>F41</f>
        <v>0.1</v>
      </c>
      <c r="G50" s="226">
        <f>D50*(100%+F50)</f>
        <v>27.500000000000004</v>
      </c>
      <c r="H50" s="226">
        <f>E50*(100%+F50)</f>
        <v>880.00000000000011</v>
      </c>
    </row>
    <row r="51" spans="2:8" ht="28.5" customHeight="1" x14ac:dyDescent="0.25">
      <c r="B51" s="207">
        <v>2</v>
      </c>
      <c r="C51" s="208" t="s">
        <v>994</v>
      </c>
      <c r="D51" s="213"/>
      <c r="E51" s="213"/>
      <c r="F51" s="207"/>
      <c r="G51" s="226"/>
      <c r="H51" s="226"/>
    </row>
    <row r="52" spans="2:8" ht="28.5" customHeight="1" x14ac:dyDescent="0.25">
      <c r="B52" s="207">
        <v>2.1</v>
      </c>
      <c r="C52" s="208" t="s">
        <v>1006</v>
      </c>
      <c r="D52" s="208" t="s">
        <v>996</v>
      </c>
      <c r="E52" s="208" t="s">
        <v>997</v>
      </c>
      <c r="F52" s="206" t="s">
        <v>17</v>
      </c>
      <c r="G52" s="208" t="s">
        <v>996</v>
      </c>
      <c r="H52" s="208" t="s">
        <v>997</v>
      </c>
    </row>
    <row r="53" spans="2:8" ht="23.25" customHeight="1" x14ac:dyDescent="0.25">
      <c r="B53" s="213" t="s">
        <v>259</v>
      </c>
      <c r="C53" s="213" t="s">
        <v>1001</v>
      </c>
      <c r="D53" s="213">
        <v>75</v>
      </c>
      <c r="E53" s="213">
        <v>760</v>
      </c>
      <c r="F53" s="123">
        <f>'D3'!F10</f>
        <v>0.31006</v>
      </c>
      <c r="G53" s="226">
        <f>D53*(100%+F53)</f>
        <v>98.254500000000007</v>
      </c>
      <c r="H53" s="226">
        <f>E53*(100%+F53)</f>
        <v>995.64560000000006</v>
      </c>
    </row>
    <row r="54" spans="2:8" ht="46.5" customHeight="1" x14ac:dyDescent="0.25">
      <c r="B54" s="213" t="s">
        <v>261</v>
      </c>
      <c r="C54" s="213" t="s">
        <v>1002</v>
      </c>
      <c r="D54" s="213">
        <v>90</v>
      </c>
      <c r="E54" s="213">
        <v>805</v>
      </c>
      <c r="F54" s="123">
        <f>F53</f>
        <v>0.31006</v>
      </c>
      <c r="G54" s="226">
        <f>D54*(100%+F54)</f>
        <v>117.9054</v>
      </c>
      <c r="H54" s="226">
        <f>E54*(100%+F54)</f>
        <v>1054.5983000000001</v>
      </c>
    </row>
    <row r="55" spans="2:8" x14ac:dyDescent="0.25">
      <c r="B55" s="213" t="s">
        <v>777</v>
      </c>
      <c r="C55" s="206" t="s">
        <v>1003</v>
      </c>
      <c r="D55" s="213"/>
      <c r="E55" s="213"/>
      <c r="F55" s="123"/>
      <c r="G55" s="226"/>
      <c r="H55" s="226"/>
    </row>
    <row r="56" spans="2:8" ht="30" x14ac:dyDescent="0.25">
      <c r="B56" s="213" t="s">
        <v>12</v>
      </c>
      <c r="C56" s="213" t="s">
        <v>1004</v>
      </c>
      <c r="D56" s="213">
        <v>150</v>
      </c>
      <c r="E56" s="213">
        <v>835</v>
      </c>
      <c r="F56" s="123">
        <f>F53</f>
        <v>0.31006</v>
      </c>
      <c r="G56" s="226">
        <f>D56*(100%+F56)</f>
        <v>196.50900000000001</v>
      </c>
      <c r="H56" s="226">
        <f>E56*(100%+F56)</f>
        <v>1093.9001000000001</v>
      </c>
    </row>
    <row r="57" spans="2:8" ht="45" x14ac:dyDescent="0.25">
      <c r="B57" s="213" t="s">
        <v>15</v>
      </c>
      <c r="C57" s="213" t="s">
        <v>1005</v>
      </c>
      <c r="D57" s="213">
        <v>135</v>
      </c>
      <c r="E57" s="213">
        <v>785</v>
      </c>
      <c r="F57" s="123">
        <f>F56</f>
        <v>0.31006</v>
      </c>
      <c r="G57" s="226">
        <f>D57*(100%+F57)</f>
        <v>176.85810000000001</v>
      </c>
      <c r="H57" s="226">
        <f>E57*(100%+F57)</f>
        <v>1028.3970999999999</v>
      </c>
    </row>
    <row r="58" spans="2:8" ht="69" customHeight="1" x14ac:dyDescent="0.25">
      <c r="B58" s="213">
        <v>2.2000000000000002</v>
      </c>
      <c r="C58" s="208" t="s">
        <v>1033</v>
      </c>
      <c r="D58" s="213">
        <v>125</v>
      </c>
      <c r="E58" s="213">
        <v>715</v>
      </c>
      <c r="F58" s="123">
        <f>F57</f>
        <v>0.31006</v>
      </c>
      <c r="G58" s="226">
        <f>D58*(100%+F58)</f>
        <v>163.75749999999999</v>
      </c>
      <c r="H58" s="226">
        <f>E58*(100%+F58)</f>
        <v>936.69290000000001</v>
      </c>
    </row>
    <row r="59" spans="2:8" ht="30" x14ac:dyDescent="0.25">
      <c r="B59" s="279">
        <v>3</v>
      </c>
      <c r="C59" s="279" t="s">
        <v>1007</v>
      </c>
      <c r="D59" s="208" t="s">
        <v>996</v>
      </c>
      <c r="E59" s="208" t="s">
        <v>997</v>
      </c>
      <c r="F59" s="206" t="s">
        <v>17</v>
      </c>
      <c r="G59" s="208" t="s">
        <v>996</v>
      </c>
      <c r="H59" s="208" t="s">
        <v>997</v>
      </c>
    </row>
    <row r="60" spans="2:8" x14ac:dyDescent="0.25">
      <c r="B60" s="279"/>
      <c r="C60" s="279"/>
      <c r="D60" s="213">
        <v>50</v>
      </c>
      <c r="E60" s="213">
        <v>695</v>
      </c>
      <c r="F60" s="123">
        <f>F58</f>
        <v>0.31006</v>
      </c>
      <c r="G60" s="226">
        <f>D60*(100%+F60)</f>
        <v>65.503</v>
      </c>
      <c r="H60" s="226">
        <f>E60*(100%+F60)</f>
        <v>910.49170000000004</v>
      </c>
    </row>
    <row r="61" spans="2:8" ht="30" x14ac:dyDescent="0.25">
      <c r="B61" s="208">
        <v>4</v>
      </c>
      <c r="C61" s="208" t="s">
        <v>1008</v>
      </c>
      <c r="D61" s="208" t="s">
        <v>996</v>
      </c>
      <c r="E61" s="208" t="s">
        <v>997</v>
      </c>
      <c r="F61" s="206" t="s">
        <v>17</v>
      </c>
      <c r="G61" s="208" t="s">
        <v>996</v>
      </c>
      <c r="H61" s="208" t="s">
        <v>997</v>
      </c>
    </row>
    <row r="62" spans="2:8" x14ac:dyDescent="0.25">
      <c r="B62" s="207"/>
      <c r="C62" s="213" t="s">
        <v>1009</v>
      </c>
      <c r="D62" s="213"/>
      <c r="E62" s="213">
        <v>730</v>
      </c>
      <c r="F62" s="123">
        <f>F41</f>
        <v>0.1</v>
      </c>
      <c r="G62" s="226"/>
      <c r="H62" s="226">
        <f>E62*(100%+F62)</f>
        <v>803.00000000000011</v>
      </c>
    </row>
    <row r="63" spans="2:8" x14ac:dyDescent="0.25">
      <c r="B63" s="213"/>
      <c r="C63" s="213" t="s">
        <v>1010</v>
      </c>
      <c r="D63" s="208"/>
      <c r="E63" s="213">
        <v>780</v>
      </c>
      <c r="F63" s="123">
        <f>F62</f>
        <v>0.1</v>
      </c>
      <c r="G63" s="226"/>
      <c r="H63" s="226">
        <f>E63*(100%+F63)</f>
        <v>858.00000000000011</v>
      </c>
    </row>
    <row r="64" spans="2:8" ht="30" x14ac:dyDescent="0.25">
      <c r="B64" s="244">
        <v>5</v>
      </c>
      <c r="C64" s="279" t="s">
        <v>66</v>
      </c>
      <c r="D64" s="208" t="s">
        <v>1011</v>
      </c>
      <c r="E64" s="208" t="s">
        <v>1012</v>
      </c>
      <c r="F64" s="206" t="s">
        <v>17</v>
      </c>
      <c r="G64" s="208" t="s">
        <v>1011</v>
      </c>
      <c r="H64" s="208" t="s">
        <v>1012</v>
      </c>
    </row>
    <row r="65" spans="2:8" x14ac:dyDescent="0.25">
      <c r="B65" s="244"/>
      <c r="C65" s="279"/>
      <c r="D65" s="213">
        <v>125</v>
      </c>
      <c r="E65" s="213">
        <v>610</v>
      </c>
      <c r="F65" s="123">
        <f>F56</f>
        <v>0.31006</v>
      </c>
      <c r="G65" s="226">
        <f>D65*(100%+F65)</f>
        <v>163.75749999999999</v>
      </c>
      <c r="H65" s="226">
        <f>E65*(100%+F65)</f>
        <v>799.13660000000004</v>
      </c>
    </row>
    <row r="66" spans="2:8" ht="30" x14ac:dyDescent="0.25">
      <c r="B66" s="244">
        <v>6</v>
      </c>
      <c r="C66" s="279" t="s">
        <v>68</v>
      </c>
      <c r="D66" s="208" t="s">
        <v>1013</v>
      </c>
      <c r="E66" s="208" t="s">
        <v>1014</v>
      </c>
      <c r="F66" s="207"/>
      <c r="G66" s="208" t="s">
        <v>1013</v>
      </c>
      <c r="H66" s="208" t="s">
        <v>1014</v>
      </c>
    </row>
    <row r="67" spans="2:8" x14ac:dyDescent="0.25">
      <c r="B67" s="244"/>
      <c r="C67" s="279"/>
      <c r="D67" s="213">
        <v>500</v>
      </c>
      <c r="E67" s="213">
        <v>1120</v>
      </c>
      <c r="F67" s="123">
        <f>F65</f>
        <v>0.31006</v>
      </c>
      <c r="G67" s="226">
        <f>D67*(100%+F67)</f>
        <v>655.03</v>
      </c>
      <c r="H67" s="226">
        <f>E67*(100%+F67)</f>
        <v>1467.2672</v>
      </c>
    </row>
    <row r="68" spans="2:8" x14ac:dyDescent="0.25">
      <c r="B68" s="279">
        <v>7</v>
      </c>
      <c r="C68" s="208" t="s">
        <v>995</v>
      </c>
      <c r="D68" s="213"/>
      <c r="E68" s="213"/>
      <c r="F68" s="207"/>
      <c r="G68" s="226"/>
      <c r="H68" s="226"/>
    </row>
    <row r="69" spans="2:8" x14ac:dyDescent="0.25">
      <c r="B69" s="279"/>
      <c r="C69" s="213" t="s">
        <v>1032</v>
      </c>
      <c r="D69" s="213">
        <v>250</v>
      </c>
      <c r="E69" s="208"/>
      <c r="F69" s="207"/>
      <c r="G69" s="226"/>
      <c r="H69" s="226"/>
    </row>
  </sheetData>
  <mergeCells count="19">
    <mergeCell ref="B22:I22"/>
    <mergeCell ref="B1:I1"/>
    <mergeCell ref="B35:B38"/>
    <mergeCell ref="D37:D38"/>
    <mergeCell ref="E37:E38"/>
    <mergeCell ref="G37:G38"/>
    <mergeCell ref="H37:H38"/>
    <mergeCell ref="G35:H36"/>
    <mergeCell ref="F35:F38"/>
    <mergeCell ref="C35:C38"/>
    <mergeCell ref="C20:F20"/>
    <mergeCell ref="B59:B60"/>
    <mergeCell ref="B64:B65"/>
    <mergeCell ref="B66:B67"/>
    <mergeCell ref="B68:B69"/>
    <mergeCell ref="D35:E36"/>
    <mergeCell ref="C64:C65"/>
    <mergeCell ref="C66:C67"/>
    <mergeCell ref="C59:C60"/>
  </mergeCells>
  <pageMargins left="0.7" right="0.7" top="0.75" bottom="0.75" header="0.3" footer="0.3"/>
  <pageSetup paperSize="9" scale="77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42"/>
  <sheetViews>
    <sheetView workbookViewId="0">
      <selection activeCell="F1" sqref="F1"/>
    </sheetView>
  </sheetViews>
  <sheetFormatPr defaultRowHeight="15" x14ac:dyDescent="0.25"/>
  <cols>
    <col min="2" max="2" width="9.140625" style="56"/>
    <col min="3" max="3" width="21.42578125" style="56" customWidth="1"/>
    <col min="4" max="8" width="9.140625" style="56"/>
    <col min="9" max="10" width="9.140625" style="56" customWidth="1"/>
    <col min="11" max="11" width="9.140625" style="56"/>
  </cols>
  <sheetData>
    <row r="2" spans="2:10" x14ac:dyDescent="0.25">
      <c r="B2" s="255" t="s">
        <v>831</v>
      </c>
      <c r="C2" s="255"/>
      <c r="D2" s="255"/>
      <c r="E2" s="255"/>
      <c r="F2" s="255"/>
      <c r="G2" s="255"/>
      <c r="H2" s="255"/>
      <c r="I2" s="255"/>
      <c r="J2" s="255"/>
    </row>
    <row r="3" spans="2:10" x14ac:dyDescent="0.25">
      <c r="B3" s="54"/>
      <c r="C3" s="54"/>
      <c r="D3" s="54"/>
      <c r="E3" s="54"/>
      <c r="F3" s="54"/>
      <c r="G3" s="54"/>
      <c r="H3" s="54"/>
      <c r="I3" s="54"/>
      <c r="J3" s="54"/>
    </row>
    <row r="4" spans="2:10" ht="30" x14ac:dyDescent="0.25">
      <c r="B4" s="55" t="s">
        <v>5</v>
      </c>
      <c r="C4" s="55" t="s">
        <v>32</v>
      </c>
      <c r="D4" s="55" t="s">
        <v>76</v>
      </c>
      <c r="E4" s="55" t="s">
        <v>77</v>
      </c>
      <c r="F4" s="55" t="s">
        <v>78</v>
      </c>
      <c r="G4" s="55" t="s">
        <v>79</v>
      </c>
      <c r="H4" s="55" t="s">
        <v>80</v>
      </c>
      <c r="I4" s="55" t="s">
        <v>81</v>
      </c>
      <c r="J4" s="55" t="s">
        <v>82</v>
      </c>
    </row>
    <row r="5" spans="2:10" x14ac:dyDescent="0.25">
      <c r="B5" s="37"/>
      <c r="C5" s="37"/>
      <c r="D5" s="57">
        <v>7</v>
      </c>
      <c r="E5" s="57">
        <v>6</v>
      </c>
      <c r="F5" s="57">
        <v>5</v>
      </c>
      <c r="G5" s="57">
        <v>4</v>
      </c>
      <c r="H5" s="57">
        <v>3</v>
      </c>
      <c r="I5" s="57">
        <v>2</v>
      </c>
      <c r="J5" s="57">
        <v>1</v>
      </c>
    </row>
    <row r="6" spans="2:10" x14ac:dyDescent="0.25">
      <c r="B6" s="55" t="s">
        <v>10</v>
      </c>
      <c r="C6" s="55" t="s">
        <v>40</v>
      </c>
      <c r="D6" s="58"/>
      <c r="E6" s="37">
        <f>('Energy Sales'!I6/'Energy Sales'!C6)^(1/CAGR!$E$5)-1</f>
        <v>2.263443571241619E-2</v>
      </c>
      <c r="F6" s="37">
        <f>('Energy Sales'!I6/'Energy Sales'!D6)^(1/CAGR!$F$5)-1</f>
        <v>3.7834459591865155E-2</v>
      </c>
      <c r="G6" s="37">
        <f>('Energy Sales'!I6/'Energy Sales'!E6)^(1/CAGR!$G$5)-1</f>
        <v>3.017412477479664E-2</v>
      </c>
      <c r="H6" s="37">
        <f>('Energy Sales'!I6/'Energy Sales'!F6)^(1/CAGR!$H$5)-1</f>
        <v>1.7115715627388228E-2</v>
      </c>
      <c r="I6" s="37">
        <f>('Energy Sales'!I6/'Energy Sales'!G6)^(1/CAGR!$I$5)-1</f>
        <v>1.5720338433219849E-2</v>
      </c>
      <c r="J6" s="37">
        <f>('Energy Sales'!I6/'Energy Sales'!H6)^(1/CAGR!$J$5)-1</f>
        <v>-2.8531716922126527E-2</v>
      </c>
    </row>
    <row r="7" spans="2:10" ht="30" x14ac:dyDescent="0.25">
      <c r="B7" s="37" t="s">
        <v>12</v>
      </c>
      <c r="C7" s="37" t="s">
        <v>41</v>
      </c>
      <c r="D7" s="37"/>
      <c r="E7" s="37"/>
      <c r="F7" s="37"/>
      <c r="G7" s="37"/>
      <c r="H7" s="37"/>
      <c r="I7" s="37"/>
      <c r="J7" s="37"/>
    </row>
    <row r="8" spans="2:10" ht="30" x14ac:dyDescent="0.25">
      <c r="B8" s="37" t="s">
        <v>15</v>
      </c>
      <c r="C8" s="37" t="s">
        <v>42</v>
      </c>
      <c r="D8" s="37"/>
      <c r="E8" s="37"/>
      <c r="F8" s="37"/>
      <c r="G8" s="37"/>
      <c r="H8" s="37"/>
      <c r="I8" s="37"/>
      <c r="J8" s="37"/>
    </row>
    <row r="9" spans="2:10" x14ac:dyDescent="0.25">
      <c r="B9" s="37"/>
      <c r="C9" s="37"/>
      <c r="D9" s="37"/>
      <c r="E9" s="37"/>
      <c r="F9" s="37"/>
      <c r="G9" s="37"/>
      <c r="H9" s="37"/>
      <c r="I9" s="37"/>
      <c r="J9" s="37"/>
    </row>
    <row r="10" spans="2:10" x14ac:dyDescent="0.25">
      <c r="B10" s="55" t="s">
        <v>21</v>
      </c>
      <c r="C10" s="55" t="s">
        <v>43</v>
      </c>
      <c r="D10" s="58"/>
      <c r="E10" s="37">
        <f>('Energy Sales'!I10/'Energy Sales'!C10)^(1/CAGR!$E$5)-1</f>
        <v>2.7451329119965395E-2</v>
      </c>
      <c r="F10" s="37">
        <f>('Energy Sales'!I10/'Energy Sales'!D10)^(1/CAGR!$F$5)-1</f>
        <v>3.5736279857338182E-2</v>
      </c>
      <c r="G10" s="37">
        <f>('Energy Sales'!I10/'Energy Sales'!E10)^(1/CAGR!$G$5)-1</f>
        <v>2.6380669711662197E-2</v>
      </c>
      <c r="H10" s="37">
        <f>('Energy Sales'!I10/'Energy Sales'!F10)^(1/CAGR!$H$5)-1</f>
        <v>1.9624840796759857E-2</v>
      </c>
      <c r="I10" s="37">
        <f>('Energy Sales'!I10/'Energy Sales'!G10)^(1/CAGR!$I$5)-1</f>
        <v>2.0403661045407473E-2</v>
      </c>
      <c r="J10" s="37">
        <f>('Energy Sales'!I10/'Energy Sales'!H10)^(1/CAGR!$J$5)-1</f>
        <v>2.6253203485392174E-2</v>
      </c>
    </row>
    <row r="11" spans="2:10" ht="30" x14ac:dyDescent="0.25">
      <c r="B11" s="37" t="s">
        <v>12</v>
      </c>
      <c r="C11" s="37" t="s">
        <v>44</v>
      </c>
      <c r="D11" s="37"/>
      <c r="E11" s="37"/>
      <c r="F11" s="37"/>
      <c r="G11" s="37"/>
      <c r="H11" s="37"/>
      <c r="I11" s="37"/>
      <c r="J11" s="37"/>
    </row>
    <row r="12" spans="2:10" ht="30" x14ac:dyDescent="0.25">
      <c r="B12" s="37" t="s">
        <v>15</v>
      </c>
      <c r="C12" s="37" t="s">
        <v>45</v>
      </c>
      <c r="D12" s="37"/>
      <c r="E12" s="37"/>
      <c r="F12" s="37"/>
      <c r="G12" s="37"/>
      <c r="H12" s="37"/>
      <c r="I12" s="37"/>
      <c r="J12" s="37"/>
    </row>
    <row r="13" spans="2:10" x14ac:dyDescent="0.25">
      <c r="B13" s="37"/>
      <c r="C13" s="37"/>
      <c r="D13" s="37"/>
      <c r="E13" s="37"/>
      <c r="F13" s="37"/>
      <c r="G13" s="37"/>
      <c r="H13" s="37"/>
      <c r="I13" s="37"/>
      <c r="J13" s="37"/>
    </row>
    <row r="14" spans="2:10" x14ac:dyDescent="0.25">
      <c r="B14" s="55" t="s">
        <v>30</v>
      </c>
      <c r="C14" s="55" t="s">
        <v>46</v>
      </c>
      <c r="D14" s="58"/>
      <c r="E14" s="37">
        <f>('Energy Sales'!I14/'Energy Sales'!C14)^(1/CAGR!$E$5)-1</f>
        <v>-6.779473224959065E-2</v>
      </c>
      <c r="F14" s="37">
        <f>('Energy Sales'!I14/'Energy Sales'!D14)^(1/CAGR!$F$5)-1</f>
        <v>-4.9020607204410371E-2</v>
      </c>
      <c r="G14" s="37">
        <f>('Energy Sales'!I14/'Energy Sales'!E14)^(1/CAGR!$G$5)-1</f>
        <v>-0.11988826320660662</v>
      </c>
      <c r="H14" s="37">
        <f>('Energy Sales'!I14/'Energy Sales'!F14)^(1/CAGR!$H$5)-1</f>
        <v>-0.13099333877838759</v>
      </c>
      <c r="I14" s="37">
        <f>('Energy Sales'!I14/'Energy Sales'!G14)^(1/CAGR!$I$5)-1</f>
        <v>-0.17559170177616834</v>
      </c>
      <c r="J14" s="37">
        <f>('Energy Sales'!I14/'Energy Sales'!H14)^(1/CAGR!$J$5)-1</f>
        <v>-0.1923076923076924</v>
      </c>
    </row>
    <row r="15" spans="2:10" ht="45" x14ac:dyDescent="0.25">
      <c r="B15" s="37" t="s">
        <v>12</v>
      </c>
      <c r="C15" s="37" t="s">
        <v>47</v>
      </c>
      <c r="D15" s="37"/>
      <c r="E15" s="37"/>
      <c r="F15" s="37"/>
      <c r="G15" s="37"/>
      <c r="H15" s="37"/>
      <c r="I15" s="37"/>
      <c r="J15" s="37"/>
    </row>
    <row r="16" spans="2:10" ht="60" x14ac:dyDescent="0.25">
      <c r="B16" s="37" t="s">
        <v>15</v>
      </c>
      <c r="C16" s="37" t="s">
        <v>48</v>
      </c>
      <c r="D16" s="37"/>
      <c r="E16" s="37"/>
      <c r="F16" s="37"/>
      <c r="G16" s="37"/>
      <c r="H16" s="37"/>
      <c r="I16" s="37"/>
      <c r="J16" s="37"/>
    </row>
    <row r="17" spans="2:10" ht="45" x14ac:dyDescent="0.25">
      <c r="B17" s="37" t="s">
        <v>18</v>
      </c>
      <c r="C17" s="37" t="s">
        <v>49</v>
      </c>
      <c r="D17" s="37"/>
      <c r="E17" s="37"/>
      <c r="F17" s="37"/>
      <c r="G17" s="37"/>
      <c r="H17" s="37"/>
      <c r="I17" s="37"/>
      <c r="J17" s="37"/>
    </row>
    <row r="18" spans="2:10" x14ac:dyDescent="0.25">
      <c r="B18" s="37"/>
      <c r="C18" s="37"/>
      <c r="D18" s="37"/>
      <c r="E18" s="37"/>
      <c r="F18" s="37"/>
      <c r="G18" s="37"/>
      <c r="H18" s="37"/>
      <c r="I18" s="37"/>
      <c r="J18" s="37"/>
    </row>
    <row r="19" spans="2:10" x14ac:dyDescent="0.25">
      <c r="B19" s="37" t="s">
        <v>50</v>
      </c>
      <c r="C19" s="37" t="s">
        <v>51</v>
      </c>
      <c r="D19" s="55"/>
      <c r="E19" s="37"/>
      <c r="F19" s="37"/>
      <c r="G19" s="37"/>
      <c r="H19" s="37"/>
      <c r="I19" s="37"/>
      <c r="J19" s="37"/>
    </row>
    <row r="20" spans="2:10" x14ac:dyDescent="0.25">
      <c r="B20" s="37"/>
      <c r="C20" s="37"/>
      <c r="D20" s="55"/>
      <c r="E20" s="37"/>
      <c r="F20" s="37"/>
      <c r="G20" s="37"/>
      <c r="H20" s="37"/>
      <c r="I20" s="37"/>
      <c r="J20" s="37"/>
    </row>
    <row r="21" spans="2:10" x14ac:dyDescent="0.25">
      <c r="B21" s="37" t="s">
        <v>52</v>
      </c>
      <c r="C21" s="37" t="s">
        <v>53</v>
      </c>
      <c r="D21" s="37"/>
      <c r="E21" s="37"/>
      <c r="F21" s="37"/>
      <c r="G21" s="37"/>
      <c r="H21" s="37"/>
      <c r="I21" s="37"/>
      <c r="J21" s="37"/>
    </row>
    <row r="22" spans="2:10" x14ac:dyDescent="0.25">
      <c r="B22" s="37"/>
      <c r="C22" s="37"/>
      <c r="D22" s="37"/>
      <c r="E22" s="37"/>
      <c r="F22" s="37"/>
      <c r="G22" s="37"/>
      <c r="H22" s="37"/>
      <c r="I22" s="37"/>
      <c r="J22" s="37"/>
    </row>
    <row r="23" spans="2:10" x14ac:dyDescent="0.25">
      <c r="B23" s="37" t="s">
        <v>54</v>
      </c>
      <c r="C23" s="37" t="s">
        <v>55</v>
      </c>
      <c r="D23" s="58"/>
      <c r="E23" s="37">
        <f>('Energy Sales'!I23/'Energy Sales'!C23)^(1/CAGR!$E$5)-1</f>
        <v>1.4533669756704892E-2</v>
      </c>
      <c r="F23" s="37">
        <f>('Energy Sales'!I23/'Energy Sales'!D23)^(1/CAGR!$F$5)-1</f>
        <v>-9.5744928622807368E-3</v>
      </c>
      <c r="G23" s="37">
        <f>('Energy Sales'!I23/'Energy Sales'!E23)^(1/CAGR!$G$5)-1</f>
        <v>-2.4556871420904902E-2</v>
      </c>
      <c r="H23" s="37">
        <f>('Energy Sales'!I23/'Energy Sales'!F23)^(1/CAGR!$H$5)-1</f>
        <v>-1.9952167928491971E-3</v>
      </c>
      <c r="I23" s="37">
        <f>('Energy Sales'!I23/'Energy Sales'!G23)^(1/CAGR!$I$5)-1</f>
        <v>-0.19830276796540636</v>
      </c>
      <c r="J23" s="37">
        <f>('Energy Sales'!I23/'Energy Sales'!H23)^(1/CAGR!$J$5)-1</f>
        <v>1.3398294762484664E-2</v>
      </c>
    </row>
    <row r="24" spans="2:10" x14ac:dyDescent="0.25">
      <c r="B24" s="37" t="s">
        <v>12</v>
      </c>
      <c r="C24" s="37" t="s">
        <v>56</v>
      </c>
      <c r="D24" s="37"/>
      <c r="E24" s="37"/>
      <c r="F24" s="37"/>
      <c r="G24" s="37"/>
      <c r="H24" s="37"/>
      <c r="I24" s="37"/>
      <c r="J24" s="37"/>
    </row>
    <row r="25" spans="2:10" x14ac:dyDescent="0.25">
      <c r="B25" s="37" t="s">
        <v>15</v>
      </c>
      <c r="C25" s="37" t="s">
        <v>57</v>
      </c>
      <c r="D25" s="37"/>
      <c r="E25" s="37"/>
      <c r="F25" s="37"/>
      <c r="G25" s="37"/>
      <c r="H25" s="37"/>
      <c r="I25" s="37"/>
      <c r="J25" s="37"/>
    </row>
    <row r="26" spans="2:10" x14ac:dyDescent="0.25">
      <c r="B26" s="37"/>
      <c r="C26" s="37"/>
      <c r="D26" s="37"/>
      <c r="E26" s="37"/>
      <c r="F26" s="37"/>
      <c r="G26" s="37"/>
      <c r="H26" s="37"/>
      <c r="I26" s="37"/>
      <c r="J26" s="37"/>
    </row>
    <row r="27" spans="2:10" x14ac:dyDescent="0.25">
      <c r="B27" s="37" t="s">
        <v>58</v>
      </c>
      <c r="C27" s="37" t="s">
        <v>74</v>
      </c>
      <c r="D27" s="37"/>
      <c r="E27" s="37"/>
      <c r="F27" s="37"/>
      <c r="G27" s="37"/>
      <c r="H27" s="37"/>
      <c r="I27" s="37"/>
      <c r="J27" s="37"/>
    </row>
    <row r="28" spans="2:10" x14ac:dyDescent="0.25">
      <c r="B28" s="37" t="s">
        <v>12</v>
      </c>
      <c r="C28" s="37" t="s">
        <v>59</v>
      </c>
      <c r="D28" s="37"/>
      <c r="E28" s="37"/>
      <c r="F28" s="37"/>
      <c r="G28" s="37"/>
      <c r="H28" s="37"/>
      <c r="I28" s="37"/>
      <c r="J28" s="37"/>
    </row>
    <row r="29" spans="2:10" ht="30" x14ac:dyDescent="0.25">
      <c r="B29" s="37" t="s">
        <v>15</v>
      </c>
      <c r="C29" s="37" t="s">
        <v>60</v>
      </c>
      <c r="D29" s="37"/>
      <c r="E29" s="37"/>
      <c r="F29" s="37"/>
      <c r="G29" s="37"/>
      <c r="H29" s="37"/>
      <c r="I29" s="37"/>
      <c r="J29" s="37"/>
    </row>
    <row r="30" spans="2:10" x14ac:dyDescent="0.25">
      <c r="B30" s="37"/>
      <c r="C30" s="37"/>
      <c r="D30" s="37"/>
      <c r="E30" s="37"/>
      <c r="F30" s="37"/>
      <c r="G30" s="37"/>
      <c r="H30" s="37"/>
      <c r="I30" s="37"/>
      <c r="J30" s="37"/>
    </row>
    <row r="31" spans="2:10" x14ac:dyDescent="0.25">
      <c r="B31" s="37" t="s">
        <v>61</v>
      </c>
      <c r="C31" s="37" t="s">
        <v>62</v>
      </c>
      <c r="D31" s="37"/>
      <c r="E31" s="37"/>
      <c r="F31" s="37"/>
      <c r="G31" s="37"/>
      <c r="H31" s="37"/>
      <c r="I31" s="37"/>
      <c r="J31" s="37"/>
    </row>
    <row r="32" spans="2:10" x14ac:dyDescent="0.25">
      <c r="B32" s="37"/>
      <c r="C32" s="37"/>
      <c r="D32" s="37"/>
      <c r="E32" s="37"/>
      <c r="F32" s="37"/>
      <c r="G32" s="37"/>
      <c r="H32" s="37"/>
      <c r="I32" s="37"/>
      <c r="J32" s="37"/>
    </row>
    <row r="33" spans="2:10" x14ac:dyDescent="0.25">
      <c r="B33" s="37" t="s">
        <v>63</v>
      </c>
      <c r="C33" s="37" t="s">
        <v>64</v>
      </c>
      <c r="D33" s="37"/>
      <c r="E33" s="37"/>
      <c r="F33" s="37"/>
      <c r="G33" s="37"/>
      <c r="H33" s="37"/>
      <c r="I33" s="37"/>
      <c r="J33" s="37"/>
    </row>
    <row r="34" spans="2:10" x14ac:dyDescent="0.25">
      <c r="B34" s="37"/>
      <c r="C34" s="37"/>
      <c r="D34" s="37"/>
      <c r="E34" s="37"/>
      <c r="F34" s="37"/>
      <c r="G34" s="37"/>
      <c r="H34" s="37"/>
      <c r="I34" s="37"/>
      <c r="J34" s="37"/>
    </row>
    <row r="35" spans="2:10" x14ac:dyDescent="0.25">
      <c r="B35" s="37" t="s">
        <v>65</v>
      </c>
      <c r="C35" s="37" t="s">
        <v>66</v>
      </c>
      <c r="D35" s="37"/>
      <c r="E35" s="37"/>
      <c r="F35" s="37"/>
      <c r="G35" s="37"/>
      <c r="H35" s="37" t="s">
        <v>808</v>
      </c>
      <c r="I35" s="37">
        <f>('Energy Sales'!I35/'Energy Sales'!G35)^(1/CAGR!$I$5)-1</f>
        <v>0.33815689657847647</v>
      </c>
      <c r="J35" s="37">
        <f>('Energy Sales'!I35/'Energy Sales'!H35)^(1/CAGR!$J$5)-1</f>
        <v>-6.3824289405684853E-2</v>
      </c>
    </row>
    <row r="36" spans="2:10" x14ac:dyDescent="0.25">
      <c r="B36" s="37"/>
      <c r="C36" s="37"/>
      <c r="D36" s="37"/>
      <c r="E36" s="37"/>
      <c r="F36" s="37"/>
      <c r="G36" s="37"/>
      <c r="H36" s="37"/>
      <c r="I36" s="37"/>
      <c r="J36" s="37"/>
    </row>
    <row r="37" spans="2:10" ht="30" x14ac:dyDescent="0.25">
      <c r="B37" s="37" t="s">
        <v>67</v>
      </c>
      <c r="C37" s="37" t="s">
        <v>68</v>
      </c>
      <c r="D37" s="37"/>
      <c r="E37" s="37"/>
      <c r="F37" s="37"/>
      <c r="G37" s="37"/>
      <c r="H37" s="37"/>
      <c r="I37" s="37"/>
      <c r="J37" s="37"/>
    </row>
    <row r="38" spans="2:10" x14ac:dyDescent="0.25">
      <c r="B38" s="37"/>
      <c r="C38" s="37"/>
      <c r="D38" s="37"/>
      <c r="E38" s="37"/>
      <c r="F38" s="37"/>
      <c r="G38" s="37"/>
      <c r="H38" s="37"/>
      <c r="I38" s="37"/>
      <c r="J38" s="37"/>
    </row>
    <row r="39" spans="2:10" x14ac:dyDescent="0.25">
      <c r="B39" s="37" t="s">
        <v>69</v>
      </c>
      <c r="C39" s="37" t="s">
        <v>70</v>
      </c>
      <c r="D39" s="37"/>
      <c r="E39" s="37"/>
      <c r="F39" s="37"/>
      <c r="G39" s="37"/>
      <c r="H39" s="37"/>
      <c r="I39" s="37"/>
      <c r="J39" s="37"/>
    </row>
    <row r="40" spans="2:10" x14ac:dyDescent="0.25">
      <c r="B40" s="37"/>
      <c r="C40" s="37"/>
      <c r="D40" s="37"/>
      <c r="E40" s="37"/>
      <c r="F40" s="37"/>
      <c r="G40" s="37"/>
      <c r="H40" s="37"/>
      <c r="I40" s="37"/>
      <c r="J40" s="37"/>
    </row>
    <row r="41" spans="2:10" x14ac:dyDescent="0.25">
      <c r="B41" s="37" t="s">
        <v>71</v>
      </c>
      <c r="C41" s="37" t="s">
        <v>72</v>
      </c>
      <c r="D41" s="58"/>
      <c r="E41" s="37">
        <f>('Energy Sales'!I41/'Energy Sales'!C41)^(1/CAGR!$E$5)-1</f>
        <v>0.15606734045202697</v>
      </c>
      <c r="F41" s="37">
        <f>('Energy Sales'!I41/'Energy Sales'!D41)^(1/CAGR!$F$5)-1</f>
        <v>8.4249224129661293E-2</v>
      </c>
      <c r="G41" s="37">
        <f>('Energy Sales'!I41/'Energy Sales'!E41)^(1/CAGR!$G$5)-1</f>
        <v>8.3007401754516819E-2</v>
      </c>
      <c r="H41" s="37">
        <f>('Energy Sales'!I41/'Energy Sales'!F41)^(1/CAGR!$H$5)-1</f>
        <v>8.3511173320138798E-3</v>
      </c>
      <c r="I41" s="37">
        <f>('Energy Sales'!I41/'Energy Sales'!G41)^(1/CAGR!$I$5)-1</f>
        <v>0.12573313007190445</v>
      </c>
      <c r="J41" s="37">
        <f>('Energy Sales'!I41/'Energy Sales'!H41)^(1/CAGR!$J$5)-1</f>
        <v>2.2035676810073568E-2</v>
      </c>
    </row>
    <row r="42" spans="2:10" x14ac:dyDescent="0.25">
      <c r="B42" s="37"/>
      <c r="C42" s="55" t="s">
        <v>73</v>
      </c>
      <c r="D42" s="58"/>
      <c r="E42" s="37">
        <f>('Energy Sales'!I42/'Energy Sales'!C42)^(1/CAGR!$E$5)-1</f>
        <v>3.1859558536845745E-2</v>
      </c>
      <c r="F42" s="37">
        <f>('Energy Sales'!I42/'Energy Sales'!D42)^(1/CAGR!$F$5)-1</f>
        <v>4.195689874737174E-2</v>
      </c>
      <c r="G42" s="37">
        <f>('Energy Sales'!I42/'Energy Sales'!E42)^(1/CAGR!$G$5)-1</f>
        <v>3.4333158848214307E-2</v>
      </c>
      <c r="H42" s="37">
        <f>('Energy Sales'!I42/'Energy Sales'!F42)^(1/CAGR!$H$5)-1</f>
        <v>2.844649165230928E-2</v>
      </c>
      <c r="I42" s="37">
        <f>('Energy Sales'!I42/'Energy Sales'!G42)^(1/CAGR!$I$5)-1</f>
        <v>2.4054642534651949E-2</v>
      </c>
      <c r="J42" s="37">
        <f>('Energy Sales'!I42/'Energy Sales'!H42)^(1/CAGR!$J$5)-1</f>
        <v>1.2375605033881909E-2</v>
      </c>
    </row>
  </sheetData>
  <customSheetViews>
    <customSheetView guid="{9CE83D47-1940-43F4-9510-4E48915AF617}" topLeftCell="A29">
      <selection activeCell="C44" sqref="C44"/>
      <pageMargins left="0.7" right="0.7" top="0.75" bottom="0.75" header="0.3" footer="0.3"/>
    </customSheetView>
  </customSheetViews>
  <mergeCells count="1">
    <mergeCell ref="B2:J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42"/>
  <sheetViews>
    <sheetView topLeftCell="A24" workbookViewId="0">
      <selection activeCell="J44" sqref="J44"/>
    </sheetView>
  </sheetViews>
  <sheetFormatPr defaultRowHeight="15" x14ac:dyDescent="0.25"/>
  <cols>
    <col min="1" max="2" width="9.140625" style="96"/>
    <col min="3" max="3" width="18" style="96" customWidth="1"/>
    <col min="4" max="4" width="10.5703125" style="96" customWidth="1"/>
    <col min="5" max="6" width="10.42578125" style="96" customWidth="1"/>
    <col min="7" max="7" width="11.42578125" style="96" customWidth="1"/>
    <col min="8" max="8" width="12" style="96" customWidth="1"/>
    <col min="9" max="9" width="11.140625" style="96" customWidth="1"/>
    <col min="10" max="11" width="10.28515625" style="96" customWidth="1"/>
    <col min="12" max="12" width="17.28515625" style="96" customWidth="1"/>
    <col min="13" max="16384" width="9.140625" style="96"/>
  </cols>
  <sheetData>
    <row r="2" spans="2:12" ht="18.75" customHeight="1" x14ac:dyDescent="0.25">
      <c r="B2" s="239" t="s">
        <v>83</v>
      </c>
      <c r="C2" s="239"/>
      <c r="D2" s="239"/>
      <c r="E2" s="239"/>
      <c r="F2" s="239"/>
      <c r="G2" s="239"/>
      <c r="H2" s="239"/>
      <c r="I2" s="239"/>
      <c r="J2" s="239"/>
      <c r="K2" s="239"/>
    </row>
    <row r="4" spans="2:12" x14ac:dyDescent="0.25">
      <c r="B4" s="99" t="s">
        <v>5</v>
      </c>
      <c r="C4" s="99" t="s">
        <v>32</v>
      </c>
      <c r="D4" s="99" t="s">
        <v>33</v>
      </c>
      <c r="E4" s="99" t="s">
        <v>34</v>
      </c>
      <c r="F4" s="99" t="s">
        <v>35</v>
      </c>
      <c r="G4" s="99" t="s">
        <v>36</v>
      </c>
      <c r="H4" s="99" t="s">
        <v>37</v>
      </c>
      <c r="I4" s="99" t="s">
        <v>38</v>
      </c>
      <c r="J4" s="100" t="s">
        <v>39</v>
      </c>
      <c r="K4" s="99" t="s">
        <v>8</v>
      </c>
      <c r="L4" s="7"/>
    </row>
    <row r="5" spans="2:12" x14ac:dyDescent="0.25">
      <c r="B5" s="4"/>
      <c r="C5" s="4"/>
      <c r="D5" s="4"/>
      <c r="E5" s="4"/>
      <c r="F5" s="4"/>
      <c r="G5" s="4"/>
      <c r="H5" s="4"/>
      <c r="I5" s="4"/>
      <c r="J5" s="100" t="s">
        <v>416</v>
      </c>
      <c r="K5" s="99" t="s">
        <v>813</v>
      </c>
      <c r="L5" s="7"/>
    </row>
    <row r="6" spans="2:12" x14ac:dyDescent="0.25">
      <c r="B6" s="99" t="s">
        <v>10</v>
      </c>
      <c r="C6" s="99" t="s">
        <v>40</v>
      </c>
      <c r="D6" s="99"/>
      <c r="E6" s="4"/>
      <c r="F6" s="4"/>
      <c r="G6" s="4"/>
      <c r="H6" s="4"/>
      <c r="I6" s="4"/>
      <c r="J6" s="114">
        <v>44642</v>
      </c>
      <c r="K6" s="4">
        <f>J6</f>
        <v>44642</v>
      </c>
      <c r="L6" s="115"/>
    </row>
    <row r="7" spans="2:12" ht="30" x14ac:dyDescent="0.25">
      <c r="B7" s="4" t="s">
        <v>12</v>
      </c>
      <c r="C7" s="4" t="s">
        <v>41</v>
      </c>
      <c r="D7" s="4"/>
      <c r="E7" s="4"/>
      <c r="F7" s="4"/>
      <c r="G7" s="4"/>
      <c r="H7" s="4"/>
      <c r="I7" s="4"/>
      <c r="J7" s="4"/>
      <c r="K7" s="117"/>
    </row>
    <row r="8" spans="2:12" ht="30" x14ac:dyDescent="0.25">
      <c r="B8" s="4" t="s">
        <v>15</v>
      </c>
      <c r="C8" s="4" t="s">
        <v>42</v>
      </c>
      <c r="D8" s="4"/>
      <c r="E8" s="4"/>
      <c r="F8" s="4"/>
      <c r="G8" s="4"/>
      <c r="H8" s="4"/>
      <c r="I8" s="4"/>
      <c r="J8" s="4"/>
      <c r="K8" s="4"/>
    </row>
    <row r="9" spans="2:12" x14ac:dyDescent="0.25">
      <c r="B9" s="4"/>
      <c r="C9" s="4"/>
      <c r="D9" s="4"/>
      <c r="E9" s="4"/>
      <c r="F9" s="4"/>
      <c r="G9" s="4"/>
      <c r="H9" s="4"/>
      <c r="I9" s="4"/>
      <c r="J9" s="4"/>
      <c r="K9" s="4"/>
    </row>
    <row r="10" spans="2:12" x14ac:dyDescent="0.25">
      <c r="B10" s="99" t="s">
        <v>21</v>
      </c>
      <c r="C10" s="99" t="s">
        <v>43</v>
      </c>
      <c r="D10" s="99"/>
      <c r="E10" s="4"/>
      <c r="F10" s="4"/>
      <c r="G10" s="4"/>
      <c r="H10" s="4"/>
      <c r="I10" s="4"/>
      <c r="J10" s="4">
        <v>22991</v>
      </c>
      <c r="K10" s="4">
        <f>J10</f>
        <v>22991</v>
      </c>
    </row>
    <row r="11" spans="2:12" ht="45" x14ac:dyDescent="0.25">
      <c r="B11" s="4" t="s">
        <v>12</v>
      </c>
      <c r="C11" s="4" t="s">
        <v>44</v>
      </c>
      <c r="D11" s="4"/>
      <c r="E11" s="4"/>
      <c r="F11" s="4"/>
      <c r="G11" s="4"/>
      <c r="H11" s="4"/>
      <c r="I11" s="4"/>
      <c r="J11" s="4"/>
      <c r="K11" s="4"/>
    </row>
    <row r="12" spans="2:12" ht="45" x14ac:dyDescent="0.25">
      <c r="B12" s="4" t="s">
        <v>15</v>
      </c>
      <c r="C12" s="4" t="s">
        <v>45</v>
      </c>
      <c r="D12" s="4"/>
      <c r="E12" s="4"/>
      <c r="F12" s="4"/>
      <c r="G12" s="4"/>
      <c r="H12" s="4"/>
      <c r="I12" s="4"/>
      <c r="J12" s="4"/>
      <c r="K12" s="4"/>
    </row>
    <row r="13" spans="2:12" x14ac:dyDescent="0.25"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2:12" x14ac:dyDescent="0.25">
      <c r="B14" s="99" t="s">
        <v>30</v>
      </c>
      <c r="C14" s="99" t="s">
        <v>46</v>
      </c>
      <c r="D14" s="99"/>
      <c r="E14" s="4"/>
      <c r="F14" s="4"/>
      <c r="G14" s="4"/>
      <c r="H14" s="4"/>
      <c r="I14" s="4"/>
      <c r="J14" s="4">
        <v>8</v>
      </c>
      <c r="K14" s="4">
        <f>J14</f>
        <v>8</v>
      </c>
    </row>
    <row r="15" spans="2:12" ht="60" x14ac:dyDescent="0.25">
      <c r="B15" s="4" t="s">
        <v>12</v>
      </c>
      <c r="C15" s="4" t="s">
        <v>47</v>
      </c>
      <c r="D15" s="4"/>
      <c r="E15" s="4"/>
      <c r="F15" s="4"/>
      <c r="G15" s="4"/>
      <c r="H15" s="4"/>
      <c r="I15" s="4"/>
      <c r="J15" s="4"/>
      <c r="K15" s="4"/>
    </row>
    <row r="16" spans="2:12" ht="75" x14ac:dyDescent="0.25">
      <c r="B16" s="4" t="s">
        <v>15</v>
      </c>
      <c r="C16" s="4" t="s">
        <v>48</v>
      </c>
      <c r="D16" s="4"/>
      <c r="E16" s="4"/>
      <c r="F16" s="4"/>
      <c r="G16" s="4"/>
      <c r="H16" s="4"/>
      <c r="I16" s="4"/>
      <c r="J16" s="4"/>
      <c r="K16" s="4"/>
    </row>
    <row r="17" spans="2:11" ht="60" x14ac:dyDescent="0.25">
      <c r="B17" s="4" t="s">
        <v>18</v>
      </c>
      <c r="C17" s="4" t="s">
        <v>49</v>
      </c>
      <c r="D17" s="4"/>
      <c r="E17" s="4"/>
      <c r="F17" s="4"/>
      <c r="G17" s="4"/>
      <c r="H17" s="4"/>
      <c r="I17" s="4"/>
      <c r="J17" s="4"/>
      <c r="K17" s="4"/>
    </row>
    <row r="18" spans="2:11" x14ac:dyDescent="0.25"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2:11" x14ac:dyDescent="0.25">
      <c r="B19" s="4" t="s">
        <v>50</v>
      </c>
      <c r="C19" s="4" t="s">
        <v>51</v>
      </c>
      <c r="D19" s="99"/>
      <c r="E19" s="4"/>
      <c r="F19" s="4"/>
      <c r="G19" s="4"/>
      <c r="H19" s="4"/>
      <c r="I19" s="4"/>
      <c r="J19" s="4"/>
      <c r="K19" s="4"/>
    </row>
    <row r="20" spans="2:11" x14ac:dyDescent="0.25">
      <c r="B20" s="4"/>
      <c r="C20" s="4"/>
      <c r="D20" s="99"/>
      <c r="E20" s="4"/>
      <c r="F20" s="4"/>
      <c r="G20" s="4"/>
      <c r="H20" s="4"/>
      <c r="I20" s="4"/>
      <c r="J20" s="4"/>
      <c r="K20" s="4"/>
    </row>
    <row r="21" spans="2:11" ht="30" x14ac:dyDescent="0.25">
      <c r="B21" s="4" t="s">
        <v>52</v>
      </c>
      <c r="C21" s="4" t="s">
        <v>53</v>
      </c>
      <c r="D21" s="4"/>
      <c r="E21" s="4"/>
      <c r="F21" s="4"/>
      <c r="G21" s="4"/>
      <c r="H21" s="4"/>
      <c r="I21" s="4"/>
      <c r="J21" s="4"/>
      <c r="K21" s="4"/>
    </row>
    <row r="22" spans="2:11" x14ac:dyDescent="0.25"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2:11" x14ac:dyDescent="0.25">
      <c r="B23" s="4" t="s">
        <v>54</v>
      </c>
      <c r="C23" s="4" t="s">
        <v>55</v>
      </c>
      <c r="D23" s="4"/>
      <c r="E23" s="4"/>
      <c r="F23" s="4"/>
      <c r="G23" s="4"/>
      <c r="H23" s="4"/>
      <c r="I23" s="4"/>
      <c r="J23" s="4">
        <v>75</v>
      </c>
      <c r="K23" s="4">
        <f>J23</f>
        <v>75</v>
      </c>
    </row>
    <row r="24" spans="2:11" x14ac:dyDescent="0.25">
      <c r="B24" s="4" t="s">
        <v>12</v>
      </c>
      <c r="C24" s="4" t="s">
        <v>56</v>
      </c>
      <c r="D24" s="4"/>
      <c r="E24" s="4"/>
      <c r="F24" s="4"/>
      <c r="G24" s="4"/>
      <c r="H24" s="4"/>
      <c r="I24" s="4"/>
      <c r="J24" s="4"/>
      <c r="K24" s="4"/>
    </row>
    <row r="25" spans="2:11" x14ac:dyDescent="0.25">
      <c r="B25" s="4" t="s">
        <v>15</v>
      </c>
      <c r="C25" s="4" t="s">
        <v>57</v>
      </c>
      <c r="D25" s="4"/>
      <c r="E25" s="4"/>
      <c r="F25" s="4"/>
      <c r="G25" s="4"/>
      <c r="H25" s="4"/>
      <c r="I25" s="4"/>
      <c r="J25" s="4"/>
      <c r="K25" s="4"/>
    </row>
    <row r="26" spans="2:11" x14ac:dyDescent="0.25"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2:11" ht="30" x14ac:dyDescent="0.25">
      <c r="B27" s="4" t="s">
        <v>58</v>
      </c>
      <c r="C27" s="4" t="s">
        <v>74</v>
      </c>
      <c r="D27" s="4"/>
      <c r="E27" s="4"/>
      <c r="F27" s="4"/>
      <c r="G27" s="4"/>
      <c r="H27" s="4"/>
      <c r="I27" s="4"/>
      <c r="J27" s="4"/>
      <c r="K27" s="4"/>
    </row>
    <row r="28" spans="2:11" x14ac:dyDescent="0.25">
      <c r="B28" s="4" t="s">
        <v>12</v>
      </c>
      <c r="C28" s="4" t="s">
        <v>59</v>
      </c>
      <c r="D28" s="4"/>
      <c r="E28" s="4"/>
      <c r="F28" s="4"/>
      <c r="G28" s="4"/>
      <c r="H28" s="4"/>
      <c r="I28" s="4"/>
      <c r="J28" s="4"/>
      <c r="K28" s="4"/>
    </row>
    <row r="29" spans="2:11" ht="30" x14ac:dyDescent="0.25">
      <c r="B29" s="4" t="s">
        <v>15</v>
      </c>
      <c r="C29" s="4" t="s">
        <v>60</v>
      </c>
      <c r="D29" s="4"/>
      <c r="E29" s="4"/>
      <c r="F29" s="4"/>
      <c r="G29" s="4"/>
      <c r="H29" s="4"/>
      <c r="I29" s="4"/>
      <c r="J29" s="4"/>
      <c r="K29" s="4"/>
    </row>
    <row r="30" spans="2:11" x14ac:dyDescent="0.25"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2:11" x14ac:dyDescent="0.25">
      <c r="B31" s="4" t="s">
        <v>61</v>
      </c>
      <c r="C31" s="4" t="s">
        <v>62</v>
      </c>
      <c r="D31" s="4"/>
      <c r="E31" s="4"/>
      <c r="F31" s="4"/>
      <c r="G31" s="4"/>
      <c r="H31" s="4"/>
      <c r="I31" s="4"/>
      <c r="J31" s="4"/>
      <c r="K31" s="4"/>
    </row>
    <row r="32" spans="2:11" x14ac:dyDescent="0.25"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2:11" x14ac:dyDescent="0.25">
      <c r="B33" s="4" t="s">
        <v>63</v>
      </c>
      <c r="C33" s="4" t="s">
        <v>64</v>
      </c>
      <c r="D33" s="4"/>
      <c r="E33" s="4"/>
      <c r="F33" s="4"/>
      <c r="G33" s="4"/>
      <c r="H33" s="4"/>
      <c r="I33" s="4"/>
      <c r="J33" s="4"/>
      <c r="K33" s="4"/>
    </row>
    <row r="34" spans="2:11" x14ac:dyDescent="0.25"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2:11" x14ac:dyDescent="0.25">
      <c r="B35" s="4" t="s">
        <v>65</v>
      </c>
      <c r="C35" s="4" t="s">
        <v>66</v>
      </c>
      <c r="D35" s="4"/>
      <c r="E35" s="4"/>
      <c r="F35" s="4"/>
      <c r="G35" s="4"/>
      <c r="H35" s="4"/>
      <c r="I35" s="4"/>
      <c r="J35" s="4">
        <v>1</v>
      </c>
      <c r="K35" s="4">
        <f>J35</f>
        <v>1</v>
      </c>
    </row>
    <row r="36" spans="2:11" x14ac:dyDescent="0.25"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2:11" ht="30" x14ac:dyDescent="0.25">
      <c r="B37" s="4" t="s">
        <v>67</v>
      </c>
      <c r="C37" s="4" t="s">
        <v>68</v>
      </c>
      <c r="D37" s="4"/>
      <c r="E37" s="4"/>
      <c r="F37" s="4"/>
      <c r="G37" s="4"/>
      <c r="H37" s="4"/>
      <c r="I37" s="4"/>
      <c r="J37" s="4"/>
      <c r="K37" s="4"/>
    </row>
    <row r="38" spans="2:11" x14ac:dyDescent="0.25"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2:11" x14ac:dyDescent="0.25">
      <c r="B39" s="4" t="s">
        <v>69</v>
      </c>
      <c r="C39" s="4" t="s">
        <v>70</v>
      </c>
      <c r="D39" s="4"/>
      <c r="E39" s="4"/>
      <c r="F39" s="4"/>
      <c r="G39" s="4"/>
      <c r="H39" s="4"/>
      <c r="I39" s="4"/>
      <c r="J39" s="4"/>
      <c r="K39" s="4"/>
    </row>
    <row r="40" spans="2:11" x14ac:dyDescent="0.25"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2:11" x14ac:dyDescent="0.25">
      <c r="B41" s="4" t="s">
        <v>71</v>
      </c>
      <c r="C41" s="4" t="s">
        <v>72</v>
      </c>
      <c r="D41" s="4"/>
      <c r="E41" s="4"/>
      <c r="F41" s="4"/>
      <c r="G41" s="4"/>
      <c r="H41" s="4"/>
      <c r="I41" s="4"/>
      <c r="J41" s="4">
        <f>2494</f>
        <v>2494</v>
      </c>
      <c r="K41" s="4">
        <f>J41</f>
        <v>2494</v>
      </c>
    </row>
    <row r="42" spans="2:11" x14ac:dyDescent="0.25">
      <c r="B42" s="4"/>
      <c r="C42" s="99" t="s">
        <v>73</v>
      </c>
      <c r="D42" s="4"/>
      <c r="E42" s="4"/>
      <c r="F42" s="4"/>
      <c r="G42" s="4"/>
      <c r="H42" s="4"/>
      <c r="I42" s="4"/>
      <c r="J42" s="99">
        <f>SUM(J41,J39,J37,J35,J33,J31,J27,J23,J21,J19,J14,J10,J6)</f>
        <v>70211</v>
      </c>
      <c r="K42" s="99">
        <f>SUM(K41,K39,K37,K35,K33,K31,K27,K23,K21,K19,K14,K10,K6)</f>
        <v>70211</v>
      </c>
    </row>
  </sheetData>
  <customSheetViews>
    <customSheetView guid="{9CE83D47-1940-43F4-9510-4E48915AF617}" topLeftCell="A30">
      <selection activeCell="B4" sqref="B4:K42"/>
      <pageMargins left="0.7" right="0.7" top="0.75" bottom="0.75" header="0.3" footer="0.3"/>
    </customSheetView>
  </customSheetViews>
  <mergeCells count="1">
    <mergeCell ref="B2:K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42"/>
  <sheetViews>
    <sheetView topLeftCell="B30" workbookViewId="0">
      <selection activeCell="K52" sqref="K52"/>
    </sheetView>
  </sheetViews>
  <sheetFormatPr defaultRowHeight="15" x14ac:dyDescent="0.25"/>
  <cols>
    <col min="1" max="2" width="9.140625" style="91"/>
    <col min="3" max="3" width="23.5703125" style="91" customWidth="1"/>
    <col min="4" max="4" width="13.28515625" style="91" customWidth="1"/>
    <col min="5" max="5" width="12.140625" style="91" customWidth="1"/>
    <col min="6" max="6" width="11" style="91" customWidth="1"/>
    <col min="7" max="7" width="13.5703125" style="91" customWidth="1"/>
    <col min="8" max="8" width="11.5703125" style="91" customWidth="1"/>
    <col min="9" max="9" width="12.28515625" style="91" customWidth="1"/>
    <col min="10" max="10" width="17.140625" style="91" customWidth="1"/>
    <col min="11" max="11" width="17.42578125" style="91" customWidth="1"/>
    <col min="12" max="16384" width="9.140625" style="91"/>
  </cols>
  <sheetData>
    <row r="2" spans="2:12" x14ac:dyDescent="0.25">
      <c r="B2" s="256" t="s">
        <v>84</v>
      </c>
      <c r="C2" s="256"/>
      <c r="D2" s="256"/>
      <c r="E2" s="256"/>
      <c r="F2" s="256"/>
      <c r="G2" s="256"/>
      <c r="H2" s="256"/>
      <c r="I2" s="256"/>
      <c r="J2" s="256"/>
      <c r="K2" s="256"/>
    </row>
    <row r="4" spans="2:12" x14ac:dyDescent="0.25">
      <c r="B4" s="99" t="s">
        <v>5</v>
      </c>
      <c r="C4" s="99" t="s">
        <v>32</v>
      </c>
      <c r="D4" s="99" t="s">
        <v>33</v>
      </c>
      <c r="E4" s="99" t="s">
        <v>34</v>
      </c>
      <c r="F4" s="99" t="s">
        <v>35</v>
      </c>
      <c r="G4" s="99" t="s">
        <v>36</v>
      </c>
      <c r="H4" s="99" t="s">
        <v>37</v>
      </c>
      <c r="I4" s="99" t="s">
        <v>38</v>
      </c>
      <c r="J4" s="99" t="s">
        <v>39</v>
      </c>
      <c r="K4" s="99" t="s">
        <v>85</v>
      </c>
    </row>
    <row r="5" spans="2:12" x14ac:dyDescent="0.25">
      <c r="B5" s="4"/>
      <c r="C5" s="4"/>
      <c r="D5" s="4"/>
      <c r="E5" s="4"/>
      <c r="F5" s="4"/>
      <c r="G5" s="4"/>
      <c r="H5" s="4"/>
      <c r="I5" s="4"/>
      <c r="J5" s="4" t="s">
        <v>416</v>
      </c>
      <c r="K5" s="4" t="s">
        <v>813</v>
      </c>
    </row>
    <row r="6" spans="2:12" x14ac:dyDescent="0.25">
      <c r="B6" s="99" t="s">
        <v>10</v>
      </c>
      <c r="C6" s="99" t="s">
        <v>40</v>
      </c>
      <c r="D6" s="99"/>
      <c r="E6" s="4"/>
      <c r="F6" s="4"/>
      <c r="G6" s="4"/>
      <c r="H6" s="4"/>
      <c r="I6" s="4"/>
      <c r="J6" s="120">
        <v>121226.04</v>
      </c>
      <c r="K6" s="78">
        <f>J6</f>
        <v>121226.04</v>
      </c>
    </row>
    <row r="7" spans="2:12" ht="30" x14ac:dyDescent="0.25">
      <c r="B7" s="4" t="s">
        <v>12</v>
      </c>
      <c r="C7" s="4" t="s">
        <v>41</v>
      </c>
      <c r="D7" s="4"/>
      <c r="E7" s="4"/>
      <c r="F7" s="4"/>
      <c r="G7" s="4"/>
      <c r="H7" s="4"/>
      <c r="I7" s="4"/>
      <c r="J7" s="4"/>
      <c r="K7" s="4"/>
    </row>
    <row r="8" spans="2:12" ht="30" x14ac:dyDescent="0.25">
      <c r="B8" s="4" t="s">
        <v>15</v>
      </c>
      <c r="C8" s="4" t="s">
        <v>42</v>
      </c>
      <c r="D8" s="4"/>
      <c r="E8" s="4"/>
      <c r="F8" s="4"/>
      <c r="G8" s="4"/>
      <c r="H8" s="4"/>
      <c r="I8" s="4"/>
      <c r="J8" s="4"/>
      <c r="K8" s="4"/>
    </row>
    <row r="9" spans="2:12" x14ac:dyDescent="0.25">
      <c r="B9" s="4"/>
      <c r="C9" s="4"/>
      <c r="D9" s="4"/>
      <c r="E9" s="4"/>
      <c r="F9" s="4"/>
      <c r="G9" s="4"/>
      <c r="H9" s="4"/>
      <c r="I9" s="4"/>
      <c r="J9" s="4"/>
      <c r="K9" s="4"/>
    </row>
    <row r="10" spans="2:12" x14ac:dyDescent="0.25">
      <c r="B10" s="99" t="s">
        <v>21</v>
      </c>
      <c r="C10" s="99" t="s">
        <v>43</v>
      </c>
      <c r="D10" s="99"/>
      <c r="E10" s="4"/>
      <c r="F10" s="4"/>
      <c r="G10" s="4"/>
      <c r="H10" s="4"/>
      <c r="I10" s="4"/>
      <c r="J10" s="121">
        <v>489568.55</v>
      </c>
      <c r="K10" s="78">
        <f>J10</f>
        <v>489568.55</v>
      </c>
    </row>
    <row r="11" spans="2:12" ht="30" x14ac:dyDescent="0.25">
      <c r="B11" s="4" t="s">
        <v>12</v>
      </c>
      <c r="C11" s="4" t="s">
        <v>44</v>
      </c>
      <c r="D11" s="4"/>
      <c r="E11" s="4"/>
      <c r="F11" s="4"/>
      <c r="G11" s="4"/>
      <c r="H11" s="4"/>
      <c r="I11" s="4"/>
      <c r="J11" s="4"/>
      <c r="K11" s="4"/>
    </row>
    <row r="12" spans="2:12" ht="30" x14ac:dyDescent="0.25">
      <c r="B12" s="4" t="s">
        <v>15</v>
      </c>
      <c r="C12" s="4" t="s">
        <v>45</v>
      </c>
      <c r="D12" s="4"/>
      <c r="E12" s="4"/>
      <c r="F12" s="4"/>
      <c r="G12" s="4"/>
      <c r="H12" s="4"/>
      <c r="I12" s="4"/>
      <c r="J12" s="4"/>
      <c r="K12" s="4"/>
    </row>
    <row r="13" spans="2:12" x14ac:dyDescent="0.25"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2:12" x14ac:dyDescent="0.25">
      <c r="B14" s="99" t="s">
        <v>30</v>
      </c>
      <c r="C14" s="99" t="s">
        <v>46</v>
      </c>
      <c r="D14" s="99"/>
      <c r="E14" s="4"/>
      <c r="F14" s="4"/>
      <c r="G14" s="4"/>
      <c r="H14" s="4"/>
      <c r="I14" s="4"/>
      <c r="J14" s="121">
        <v>49.43</v>
      </c>
      <c r="K14" s="78">
        <f>J14</f>
        <v>49.43</v>
      </c>
    </row>
    <row r="15" spans="2:12" ht="45" x14ac:dyDescent="0.25">
      <c r="B15" s="4" t="s">
        <v>12</v>
      </c>
      <c r="C15" s="4" t="s">
        <v>47</v>
      </c>
      <c r="D15" s="4"/>
      <c r="E15" s="4"/>
      <c r="F15" s="4"/>
      <c r="G15" s="4"/>
      <c r="H15" s="4"/>
      <c r="I15" s="4"/>
      <c r="J15" s="4"/>
      <c r="K15" s="4"/>
      <c r="L15" s="96"/>
    </row>
    <row r="16" spans="2:12" ht="60" x14ac:dyDescent="0.25">
      <c r="B16" s="4" t="s">
        <v>15</v>
      </c>
      <c r="C16" s="4" t="s">
        <v>48</v>
      </c>
      <c r="D16" s="4"/>
      <c r="E16" s="4"/>
      <c r="F16" s="4"/>
      <c r="G16" s="4"/>
      <c r="H16" s="4"/>
      <c r="I16" s="4"/>
      <c r="J16" s="4"/>
      <c r="K16" s="4"/>
      <c r="L16" s="96"/>
    </row>
    <row r="17" spans="2:12" ht="45" x14ac:dyDescent="0.25">
      <c r="B17" s="4" t="s">
        <v>18</v>
      </c>
      <c r="C17" s="4" t="s">
        <v>49</v>
      </c>
      <c r="D17" s="4"/>
      <c r="E17" s="4"/>
      <c r="F17" s="4"/>
      <c r="G17" s="4"/>
      <c r="H17" s="4"/>
      <c r="I17" s="4"/>
      <c r="J17" s="4"/>
      <c r="K17" s="4"/>
      <c r="L17" s="96"/>
    </row>
    <row r="18" spans="2:12" x14ac:dyDescent="0.25">
      <c r="B18" s="4"/>
      <c r="C18" s="4"/>
      <c r="D18" s="4"/>
      <c r="E18" s="4"/>
      <c r="F18" s="4"/>
      <c r="G18" s="4"/>
      <c r="H18" s="4"/>
      <c r="I18" s="4"/>
      <c r="J18" s="4"/>
      <c r="K18" s="4"/>
      <c r="L18" s="96"/>
    </row>
    <row r="19" spans="2:12" x14ac:dyDescent="0.25">
      <c r="B19" s="4" t="s">
        <v>50</v>
      </c>
      <c r="C19" s="4" t="s">
        <v>51</v>
      </c>
      <c r="D19" s="99"/>
      <c r="E19" s="4"/>
      <c r="F19" s="4"/>
      <c r="G19" s="4"/>
      <c r="H19" s="4"/>
      <c r="I19" s="4"/>
      <c r="J19" s="4"/>
      <c r="K19" s="4"/>
      <c r="L19" s="96"/>
    </row>
    <row r="20" spans="2:12" x14ac:dyDescent="0.25">
      <c r="B20" s="4"/>
      <c r="C20" s="4"/>
      <c r="D20" s="99"/>
      <c r="E20" s="4"/>
      <c r="F20" s="4"/>
      <c r="G20" s="4"/>
      <c r="H20" s="4"/>
      <c r="I20" s="4"/>
      <c r="J20" s="4"/>
      <c r="K20" s="4"/>
      <c r="L20" s="96"/>
    </row>
    <row r="21" spans="2:12" x14ac:dyDescent="0.25">
      <c r="B21" s="4" t="s">
        <v>52</v>
      </c>
      <c r="C21" s="4" t="s">
        <v>53</v>
      </c>
      <c r="D21" s="4"/>
      <c r="E21" s="4"/>
      <c r="F21" s="4"/>
      <c r="G21" s="4"/>
      <c r="H21" s="4"/>
      <c r="I21" s="4"/>
      <c r="J21" s="4"/>
      <c r="K21" s="4"/>
    </row>
    <row r="22" spans="2:12" x14ac:dyDescent="0.25"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2:12" x14ac:dyDescent="0.25">
      <c r="B23" s="4" t="s">
        <v>54</v>
      </c>
      <c r="C23" s="4" t="s">
        <v>55</v>
      </c>
      <c r="D23" s="4"/>
      <c r="E23" s="4"/>
      <c r="F23" s="4"/>
      <c r="G23" s="4"/>
      <c r="H23" s="4"/>
      <c r="I23" s="4"/>
      <c r="J23" s="121">
        <v>1641.74</v>
      </c>
      <c r="K23" s="78">
        <f>J23</f>
        <v>1641.74</v>
      </c>
    </row>
    <row r="24" spans="2:12" x14ac:dyDescent="0.25">
      <c r="B24" s="4" t="s">
        <v>12</v>
      </c>
      <c r="C24" s="4" t="s">
        <v>56</v>
      </c>
      <c r="D24" s="4"/>
      <c r="E24" s="4"/>
      <c r="F24" s="4"/>
      <c r="G24" s="4"/>
      <c r="H24" s="4"/>
      <c r="I24" s="4"/>
      <c r="J24" s="4"/>
      <c r="K24" s="4"/>
    </row>
    <row r="25" spans="2:12" x14ac:dyDescent="0.25">
      <c r="B25" s="4" t="s">
        <v>15</v>
      </c>
      <c r="C25" s="4" t="s">
        <v>57</v>
      </c>
      <c r="D25" s="4"/>
      <c r="E25" s="4"/>
      <c r="F25" s="4"/>
      <c r="G25" s="4"/>
      <c r="H25" s="4"/>
      <c r="I25" s="4"/>
      <c r="J25" s="4"/>
      <c r="K25" s="4"/>
    </row>
    <row r="26" spans="2:12" x14ac:dyDescent="0.25"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2:12" x14ac:dyDescent="0.25">
      <c r="B27" s="4" t="s">
        <v>58</v>
      </c>
      <c r="C27" s="4" t="s">
        <v>74</v>
      </c>
      <c r="D27" s="4"/>
      <c r="E27" s="4"/>
      <c r="F27" s="4"/>
      <c r="G27" s="4"/>
      <c r="H27" s="4"/>
      <c r="I27" s="4"/>
      <c r="J27" s="4"/>
      <c r="K27" s="4"/>
    </row>
    <row r="28" spans="2:12" x14ac:dyDescent="0.25">
      <c r="B28" s="4" t="s">
        <v>12</v>
      </c>
      <c r="C28" s="4" t="s">
        <v>59</v>
      </c>
      <c r="D28" s="4"/>
      <c r="E28" s="4"/>
      <c r="F28" s="4"/>
      <c r="G28" s="4"/>
      <c r="H28" s="4"/>
      <c r="I28" s="4"/>
      <c r="J28" s="4"/>
      <c r="K28" s="4"/>
    </row>
    <row r="29" spans="2:12" ht="30" x14ac:dyDescent="0.25">
      <c r="B29" s="4" t="s">
        <v>15</v>
      </c>
      <c r="C29" s="4" t="s">
        <v>60</v>
      </c>
      <c r="D29" s="4"/>
      <c r="E29" s="4"/>
      <c r="F29" s="4"/>
      <c r="G29" s="4"/>
      <c r="H29" s="4"/>
      <c r="I29" s="4"/>
      <c r="J29" s="4"/>
      <c r="K29" s="4"/>
    </row>
    <row r="30" spans="2:12" x14ac:dyDescent="0.25"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2:12" x14ac:dyDescent="0.25">
      <c r="B31" s="4" t="s">
        <v>61</v>
      </c>
      <c r="C31" s="4" t="s">
        <v>62</v>
      </c>
      <c r="D31" s="4"/>
      <c r="E31" s="4"/>
      <c r="F31" s="4"/>
      <c r="G31" s="4"/>
      <c r="H31" s="4"/>
      <c r="I31" s="4"/>
      <c r="J31" s="4"/>
      <c r="K31" s="4"/>
    </row>
    <row r="32" spans="2:12" x14ac:dyDescent="0.25"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2:11" x14ac:dyDescent="0.25">
      <c r="B33" s="4" t="s">
        <v>63</v>
      </c>
      <c r="C33" s="4" t="s">
        <v>64</v>
      </c>
      <c r="D33" s="4"/>
      <c r="E33" s="4"/>
      <c r="F33" s="4"/>
      <c r="G33" s="4"/>
      <c r="H33" s="4"/>
      <c r="I33" s="4"/>
      <c r="J33" s="4"/>
      <c r="K33" s="4"/>
    </row>
    <row r="34" spans="2:11" x14ac:dyDescent="0.25"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2:11" x14ac:dyDescent="0.25">
      <c r="B35" s="4" t="s">
        <v>65</v>
      </c>
      <c r="C35" s="4" t="s">
        <v>66</v>
      </c>
      <c r="D35" s="4"/>
      <c r="E35" s="4"/>
      <c r="F35" s="4"/>
      <c r="G35" s="4"/>
      <c r="H35" s="4"/>
      <c r="I35" s="4"/>
      <c r="J35" s="4"/>
      <c r="K35" s="4"/>
    </row>
    <row r="36" spans="2:11" x14ac:dyDescent="0.25"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2:11" ht="30" x14ac:dyDescent="0.25">
      <c r="B37" s="4" t="s">
        <v>67</v>
      </c>
      <c r="C37" s="4" t="s">
        <v>68</v>
      </c>
      <c r="D37" s="4"/>
      <c r="E37" s="4"/>
      <c r="F37" s="4"/>
      <c r="G37" s="4"/>
      <c r="H37" s="4"/>
      <c r="I37" s="4"/>
      <c r="J37" s="4"/>
      <c r="K37" s="4"/>
    </row>
    <row r="38" spans="2:11" x14ac:dyDescent="0.25"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2:11" x14ac:dyDescent="0.25">
      <c r="B39" s="4" t="s">
        <v>69</v>
      </c>
      <c r="C39" s="4" t="s">
        <v>70</v>
      </c>
      <c r="D39" s="4"/>
      <c r="E39" s="4"/>
      <c r="F39" s="4"/>
      <c r="G39" s="4"/>
      <c r="H39" s="4"/>
      <c r="I39" s="4"/>
      <c r="J39" s="4"/>
      <c r="K39" s="4"/>
    </row>
    <row r="40" spans="2:11" x14ac:dyDescent="0.25"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2:11" x14ac:dyDescent="0.25">
      <c r="B41" s="4" t="s">
        <v>71</v>
      </c>
      <c r="C41" s="4" t="s">
        <v>72</v>
      </c>
      <c r="D41" s="4"/>
      <c r="E41" s="4"/>
      <c r="F41" s="4"/>
      <c r="G41" s="4"/>
      <c r="H41" s="4"/>
      <c r="I41" s="4"/>
      <c r="J41" s="122">
        <v>3228.8870000000002</v>
      </c>
      <c r="K41" s="78">
        <f>J41</f>
        <v>3228.8870000000002</v>
      </c>
    </row>
    <row r="42" spans="2:11" x14ac:dyDescent="0.25">
      <c r="B42" s="4"/>
      <c r="C42" s="99" t="s">
        <v>73</v>
      </c>
      <c r="D42" s="4"/>
      <c r="E42" s="4"/>
      <c r="F42" s="4"/>
      <c r="G42" s="4"/>
      <c r="H42" s="4"/>
      <c r="I42" s="4"/>
      <c r="J42" s="78">
        <f>SUM(J6,J10,J14,J23,J35,J41)</f>
        <v>615714.647</v>
      </c>
      <c r="K42" s="78">
        <f>SUM(K6:K41)</f>
        <v>615714.647</v>
      </c>
    </row>
  </sheetData>
  <customSheetViews>
    <customSheetView guid="{9CE83D47-1940-43F4-9510-4E48915AF617}">
      <selection activeCell="B42" sqref="B1:K42"/>
      <pageMargins left="0.7" right="0.7" top="0.75" bottom="0.75" header="0.3" footer="0.3"/>
    </customSheetView>
  </customSheetViews>
  <mergeCells count="1">
    <mergeCell ref="B2:K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57"/>
  <sheetViews>
    <sheetView topLeftCell="B1" workbookViewId="0">
      <selection activeCell="B1" sqref="B1"/>
    </sheetView>
  </sheetViews>
  <sheetFormatPr defaultRowHeight="15" x14ac:dyDescent="0.25"/>
  <cols>
    <col min="1" max="2" width="9.140625" style="96"/>
    <col min="3" max="3" width="21" style="96" customWidth="1"/>
    <col min="4" max="4" width="15.85546875" style="96" customWidth="1"/>
    <col min="5" max="5" width="15.28515625" style="96" customWidth="1"/>
    <col min="6" max="6" width="19.7109375" style="96" customWidth="1"/>
    <col min="7" max="8" width="11.5703125" style="96" bestFit="1" customWidth="1"/>
    <col min="9" max="16384" width="9.140625" style="96"/>
  </cols>
  <sheetData>
    <row r="3" spans="2:11" ht="15" customHeight="1" x14ac:dyDescent="0.25">
      <c r="B3" s="239" t="s">
        <v>86</v>
      </c>
      <c r="C3" s="239"/>
      <c r="D3" s="239"/>
      <c r="E3" s="239"/>
      <c r="F3" s="239"/>
      <c r="G3" s="239"/>
      <c r="H3" s="8"/>
      <c r="I3" s="8"/>
      <c r="J3" s="8"/>
      <c r="K3" s="8"/>
    </row>
    <row r="5" spans="2:11" ht="30" x14ac:dyDescent="0.25">
      <c r="B5" s="99" t="s">
        <v>5</v>
      </c>
      <c r="C5" s="99" t="s">
        <v>32</v>
      </c>
      <c r="D5" s="99" t="s">
        <v>87</v>
      </c>
      <c r="E5" s="99" t="s">
        <v>88</v>
      </c>
      <c r="F5" s="99" t="s">
        <v>89</v>
      </c>
      <c r="G5" s="99" t="s">
        <v>427</v>
      </c>
      <c r="H5" s="7"/>
      <c r="I5" s="7"/>
      <c r="J5" s="7"/>
      <c r="K5" s="7"/>
    </row>
    <row r="6" spans="2:11" x14ac:dyDescent="0.25">
      <c r="B6" s="4"/>
      <c r="C6" s="4"/>
      <c r="D6" s="4"/>
      <c r="E6" s="13" t="s">
        <v>809</v>
      </c>
      <c r="F6" s="4"/>
      <c r="G6" s="4"/>
      <c r="H6" s="115"/>
      <c r="I6" s="115"/>
      <c r="J6" s="115"/>
      <c r="K6" s="115"/>
    </row>
    <row r="7" spans="2:11" x14ac:dyDescent="0.25">
      <c r="B7" s="99" t="s">
        <v>10</v>
      </c>
      <c r="C7" s="99" t="s">
        <v>40</v>
      </c>
      <c r="D7" s="4">
        <f>'Energy Sales'!J6</f>
        <v>265.43</v>
      </c>
      <c r="E7" s="123">
        <f>CAGR!H6</f>
        <v>1.7115715627388228E-2</v>
      </c>
      <c r="F7" s="78">
        <f>D7*(100%+E7)^1</f>
        <v>269.97302439897766</v>
      </c>
      <c r="G7" s="78">
        <f>F48</f>
        <v>4.7488275971703358</v>
      </c>
      <c r="H7" s="115"/>
      <c r="I7" s="115"/>
      <c r="J7" s="115"/>
      <c r="K7" s="115"/>
    </row>
    <row r="8" spans="2:11" ht="30" x14ac:dyDescent="0.25">
      <c r="B8" s="4" t="s">
        <v>12</v>
      </c>
      <c r="C8" s="4" t="s">
        <v>41</v>
      </c>
      <c r="D8" s="4"/>
      <c r="E8" s="4"/>
      <c r="F8" s="78"/>
      <c r="G8" s="4"/>
      <c r="H8" s="115"/>
      <c r="I8" s="115"/>
      <c r="J8" s="115"/>
      <c r="K8" s="115"/>
    </row>
    <row r="9" spans="2:11" ht="30" x14ac:dyDescent="0.25">
      <c r="B9" s="4" t="s">
        <v>15</v>
      </c>
      <c r="C9" s="4" t="s">
        <v>42</v>
      </c>
      <c r="D9" s="4"/>
      <c r="E9" s="4"/>
      <c r="F9" s="78"/>
      <c r="G9" s="4"/>
      <c r="H9" s="115"/>
      <c r="I9" s="115"/>
      <c r="J9" s="115"/>
      <c r="K9" s="115"/>
    </row>
    <row r="10" spans="2:11" x14ac:dyDescent="0.25">
      <c r="B10" s="4"/>
      <c r="C10" s="4"/>
      <c r="D10" s="4"/>
      <c r="E10" s="4"/>
      <c r="F10" s="78"/>
      <c r="G10" s="4"/>
      <c r="H10" s="115"/>
      <c r="I10" s="115"/>
      <c r="J10" s="115"/>
      <c r="K10" s="115"/>
    </row>
    <row r="11" spans="2:11" x14ac:dyDescent="0.25">
      <c r="B11" s="99" t="s">
        <v>21</v>
      </c>
      <c r="C11" s="99" t="s">
        <v>43</v>
      </c>
      <c r="D11" s="4">
        <f>'Energy Sales'!J10</f>
        <v>1025.67</v>
      </c>
      <c r="E11" s="123">
        <f>CAGR!H10</f>
        <v>1.9624840796759857E-2</v>
      </c>
      <c r="F11" s="78">
        <f>D11*(100%+E11)^1</f>
        <v>1045.7986104600127</v>
      </c>
      <c r="G11" s="78">
        <f>F49</f>
        <v>7.8113294243389833</v>
      </c>
      <c r="H11" s="115"/>
      <c r="I11" s="115"/>
      <c r="J11" s="115"/>
      <c r="K11" s="115"/>
    </row>
    <row r="12" spans="2:11" ht="30" x14ac:dyDescent="0.25">
      <c r="B12" s="4" t="s">
        <v>12</v>
      </c>
      <c r="C12" s="4" t="s">
        <v>44</v>
      </c>
      <c r="D12" s="4"/>
      <c r="E12" s="4"/>
      <c r="F12" s="78"/>
      <c r="G12" s="4"/>
      <c r="H12" s="115"/>
      <c r="I12" s="115"/>
      <c r="J12" s="115"/>
      <c r="K12" s="115"/>
    </row>
    <row r="13" spans="2:11" ht="30" x14ac:dyDescent="0.25">
      <c r="B13" s="4" t="s">
        <v>15</v>
      </c>
      <c r="C13" s="4" t="s">
        <v>45</v>
      </c>
      <c r="D13" s="4"/>
      <c r="E13" s="4"/>
      <c r="F13" s="78"/>
      <c r="G13" s="4"/>
      <c r="H13" s="115"/>
      <c r="I13" s="115"/>
      <c r="J13" s="115"/>
      <c r="K13" s="115"/>
    </row>
    <row r="14" spans="2:11" x14ac:dyDescent="0.25">
      <c r="B14" s="4"/>
      <c r="C14" s="4"/>
      <c r="D14" s="4"/>
      <c r="E14" s="4"/>
      <c r="F14" s="78"/>
      <c r="G14" s="4"/>
      <c r="H14" s="115"/>
      <c r="I14" s="115"/>
      <c r="J14" s="115"/>
      <c r="K14" s="115"/>
    </row>
    <row r="15" spans="2:11" x14ac:dyDescent="0.25">
      <c r="B15" s="99" t="s">
        <v>30</v>
      </c>
      <c r="C15" s="99" t="s">
        <v>46</v>
      </c>
      <c r="D15" s="4">
        <f>'Energy Sales'!J14</f>
        <v>0.21</v>
      </c>
      <c r="E15" s="123">
        <f>CAGR!H14</f>
        <v>-0.13099333877838759</v>
      </c>
      <c r="F15" s="78">
        <f>D15*(100%+E15)^1</f>
        <v>0.18249139885653859</v>
      </c>
      <c r="G15" s="78">
        <f>F50</f>
        <v>6.1904761904761907</v>
      </c>
      <c r="H15" s="115"/>
      <c r="I15" s="115"/>
      <c r="J15" s="115"/>
      <c r="K15" s="115"/>
    </row>
    <row r="16" spans="2:11" ht="45" x14ac:dyDescent="0.25">
      <c r="B16" s="4" t="s">
        <v>12</v>
      </c>
      <c r="C16" s="4" t="s">
        <v>47</v>
      </c>
      <c r="D16" s="4"/>
      <c r="E16" s="4"/>
      <c r="F16" s="78"/>
      <c r="G16" s="4"/>
      <c r="H16" s="115"/>
      <c r="I16" s="115"/>
      <c r="J16" s="115"/>
      <c r="K16" s="115"/>
    </row>
    <row r="17" spans="2:11" ht="60" x14ac:dyDescent="0.25">
      <c r="B17" s="4" t="s">
        <v>15</v>
      </c>
      <c r="C17" s="4" t="s">
        <v>48</v>
      </c>
      <c r="D17" s="4"/>
      <c r="E17" s="4"/>
      <c r="F17" s="78"/>
      <c r="G17" s="4"/>
      <c r="H17" s="115"/>
      <c r="I17" s="115"/>
      <c r="J17" s="115"/>
      <c r="K17" s="115"/>
    </row>
    <row r="18" spans="2:11" ht="45" x14ac:dyDescent="0.25">
      <c r="B18" s="4" t="s">
        <v>18</v>
      </c>
      <c r="C18" s="4" t="s">
        <v>49</v>
      </c>
      <c r="D18" s="4"/>
      <c r="E18" s="4"/>
      <c r="F18" s="78"/>
      <c r="G18" s="4"/>
      <c r="H18" s="115"/>
      <c r="I18" s="115"/>
      <c r="J18" s="115"/>
      <c r="K18" s="115"/>
    </row>
    <row r="19" spans="2:11" x14ac:dyDescent="0.25">
      <c r="B19" s="4"/>
      <c r="C19" s="4"/>
      <c r="D19" s="4"/>
      <c r="E19" s="4"/>
      <c r="F19" s="78"/>
      <c r="G19" s="4"/>
      <c r="H19" s="115"/>
      <c r="I19" s="115"/>
      <c r="J19" s="115"/>
      <c r="K19" s="115"/>
    </row>
    <row r="20" spans="2:11" x14ac:dyDescent="0.25">
      <c r="B20" s="4" t="s">
        <v>50</v>
      </c>
      <c r="C20" s="4" t="s">
        <v>51</v>
      </c>
      <c r="D20" s="4"/>
      <c r="E20" s="4"/>
      <c r="F20" s="78"/>
      <c r="G20" s="4"/>
      <c r="H20" s="115"/>
      <c r="I20" s="115"/>
      <c r="J20" s="115"/>
      <c r="K20" s="115"/>
    </row>
    <row r="21" spans="2:11" x14ac:dyDescent="0.25">
      <c r="B21" s="4"/>
      <c r="C21" s="4"/>
      <c r="D21" s="4"/>
      <c r="E21" s="4"/>
      <c r="F21" s="78"/>
      <c r="G21" s="4"/>
      <c r="H21" s="115"/>
      <c r="I21" s="115"/>
      <c r="J21" s="115"/>
      <c r="K21" s="115"/>
    </row>
    <row r="22" spans="2:11" x14ac:dyDescent="0.25">
      <c r="B22" s="4" t="s">
        <v>52</v>
      </c>
      <c r="C22" s="4" t="s">
        <v>53</v>
      </c>
      <c r="D22" s="4"/>
      <c r="E22" s="4"/>
      <c r="F22" s="78"/>
      <c r="G22" s="4"/>
      <c r="H22" s="115"/>
      <c r="I22" s="115"/>
      <c r="J22" s="115"/>
      <c r="K22" s="115"/>
    </row>
    <row r="23" spans="2:11" x14ac:dyDescent="0.25">
      <c r="B23" s="4"/>
      <c r="C23" s="4"/>
      <c r="D23" s="4"/>
      <c r="E23" s="4"/>
      <c r="F23" s="78"/>
      <c r="G23" s="4"/>
      <c r="H23" s="115"/>
      <c r="I23" s="115"/>
      <c r="J23" s="115"/>
      <c r="K23" s="115"/>
    </row>
    <row r="24" spans="2:11" x14ac:dyDescent="0.25">
      <c r="B24" s="4" t="s">
        <v>54</v>
      </c>
      <c r="C24" s="4" t="s">
        <v>55</v>
      </c>
      <c r="D24" s="4">
        <f>'Energy Sales'!J23</f>
        <v>8.32</v>
      </c>
      <c r="E24" s="123">
        <f>CAGR!H23</f>
        <v>-1.9952167928491971E-3</v>
      </c>
      <c r="F24" s="78">
        <f>D24*(100%+E24)^1</f>
        <v>8.3033997962834949</v>
      </c>
      <c r="G24" s="78">
        <f>F51</f>
        <v>7.427884615384615</v>
      </c>
      <c r="H24" s="115"/>
      <c r="I24" s="115"/>
      <c r="J24" s="115"/>
      <c r="K24" s="115"/>
    </row>
    <row r="25" spans="2:11" x14ac:dyDescent="0.25">
      <c r="B25" s="4" t="s">
        <v>12</v>
      </c>
      <c r="C25" s="4" t="s">
        <v>56</v>
      </c>
      <c r="D25" s="4"/>
      <c r="E25" s="4"/>
      <c r="F25" s="78"/>
      <c r="G25" s="4"/>
      <c r="H25" s="115"/>
      <c r="I25" s="115"/>
      <c r="J25" s="115"/>
      <c r="K25" s="115"/>
    </row>
    <row r="26" spans="2:11" x14ac:dyDescent="0.25">
      <c r="B26" s="4" t="s">
        <v>15</v>
      </c>
      <c r="C26" s="4" t="s">
        <v>57</v>
      </c>
      <c r="D26" s="4"/>
      <c r="E26" s="4"/>
      <c r="F26" s="78"/>
      <c r="G26" s="4"/>
      <c r="H26" s="115"/>
      <c r="I26" s="115"/>
      <c r="J26" s="115"/>
      <c r="K26" s="115"/>
    </row>
    <row r="27" spans="2:11" x14ac:dyDescent="0.25">
      <c r="B27" s="4"/>
      <c r="C27" s="4"/>
      <c r="D27" s="4"/>
      <c r="E27" s="4"/>
      <c r="F27" s="78"/>
      <c r="G27" s="4"/>
      <c r="H27" s="115"/>
      <c r="I27" s="115"/>
      <c r="J27" s="115"/>
      <c r="K27" s="115"/>
    </row>
    <row r="28" spans="2:11" x14ac:dyDescent="0.25">
      <c r="B28" s="4" t="s">
        <v>58</v>
      </c>
      <c r="C28" s="4" t="s">
        <v>74</v>
      </c>
      <c r="D28" s="4"/>
      <c r="E28" s="4"/>
      <c r="F28" s="78"/>
      <c r="G28" s="4"/>
      <c r="H28" s="115"/>
      <c r="I28" s="115"/>
      <c r="J28" s="115"/>
      <c r="K28" s="115"/>
    </row>
    <row r="29" spans="2:11" x14ac:dyDescent="0.25">
      <c r="B29" s="4" t="s">
        <v>12</v>
      </c>
      <c r="C29" s="4" t="s">
        <v>59</v>
      </c>
      <c r="D29" s="4"/>
      <c r="E29" s="4"/>
      <c r="F29" s="78"/>
      <c r="G29" s="4"/>
      <c r="H29" s="115"/>
      <c r="I29" s="115"/>
      <c r="J29" s="115"/>
      <c r="K29" s="115"/>
    </row>
    <row r="30" spans="2:11" ht="30" x14ac:dyDescent="0.25">
      <c r="B30" s="4" t="s">
        <v>15</v>
      </c>
      <c r="C30" s="4" t="s">
        <v>60</v>
      </c>
      <c r="D30" s="4"/>
      <c r="E30" s="4"/>
      <c r="F30" s="78"/>
      <c r="G30" s="4"/>
      <c r="H30" s="115"/>
      <c r="I30" s="115"/>
      <c r="J30" s="115"/>
      <c r="K30" s="115"/>
    </row>
    <row r="31" spans="2:11" x14ac:dyDescent="0.25">
      <c r="B31" s="4"/>
      <c r="C31" s="4"/>
      <c r="D31" s="4"/>
      <c r="E31" s="4"/>
      <c r="F31" s="78"/>
      <c r="G31" s="4"/>
      <c r="H31" s="115"/>
      <c r="I31" s="115"/>
      <c r="J31" s="115"/>
      <c r="K31" s="115"/>
    </row>
    <row r="32" spans="2:11" x14ac:dyDescent="0.25">
      <c r="B32" s="4" t="s">
        <v>61</v>
      </c>
      <c r="C32" s="4" t="s">
        <v>62</v>
      </c>
      <c r="D32" s="4"/>
      <c r="E32" s="4"/>
      <c r="F32" s="78"/>
      <c r="G32" s="4"/>
      <c r="H32" s="115"/>
      <c r="I32" s="115"/>
      <c r="J32" s="115"/>
      <c r="K32" s="115"/>
    </row>
    <row r="33" spans="2:11" x14ac:dyDescent="0.25">
      <c r="B33" s="4"/>
      <c r="C33" s="4"/>
      <c r="D33" s="4"/>
      <c r="E33" s="4"/>
      <c r="F33" s="78"/>
      <c r="G33" s="4"/>
      <c r="H33" s="115"/>
      <c r="I33" s="115"/>
      <c r="J33" s="115"/>
      <c r="K33" s="115"/>
    </row>
    <row r="34" spans="2:11" x14ac:dyDescent="0.25">
      <c r="B34" s="4" t="s">
        <v>63</v>
      </c>
      <c r="C34" s="4" t="s">
        <v>64</v>
      </c>
      <c r="D34" s="4"/>
      <c r="E34" s="4"/>
      <c r="F34" s="78"/>
      <c r="G34" s="4"/>
      <c r="H34" s="115"/>
      <c r="I34" s="115"/>
      <c r="J34" s="115"/>
      <c r="K34" s="115"/>
    </row>
    <row r="35" spans="2:11" x14ac:dyDescent="0.25">
      <c r="B35" s="4"/>
      <c r="C35" s="4"/>
      <c r="D35" s="4"/>
      <c r="E35" s="4"/>
      <c r="F35" s="78"/>
      <c r="G35" s="4"/>
      <c r="H35" s="115"/>
      <c r="I35" s="115"/>
      <c r="J35" s="115"/>
      <c r="K35" s="115"/>
    </row>
    <row r="36" spans="2:11" x14ac:dyDescent="0.25">
      <c r="B36" s="4" t="s">
        <v>65</v>
      </c>
      <c r="C36" s="4" t="s">
        <v>66</v>
      </c>
      <c r="D36" s="4">
        <f>'Energy Sales'!J35</f>
        <v>18</v>
      </c>
      <c r="E36" s="123" t="str">
        <f>CAGR!H35</f>
        <v xml:space="preserve"> </v>
      </c>
      <c r="F36" s="78">
        <v>41.1</v>
      </c>
      <c r="G36" s="78">
        <f>F52</f>
        <v>5.7576593982887116</v>
      </c>
      <c r="H36" s="115"/>
      <c r="I36" s="115"/>
      <c r="J36" s="115"/>
      <c r="K36" s="115"/>
    </row>
    <row r="37" spans="2:11" x14ac:dyDescent="0.25">
      <c r="B37" s="4"/>
      <c r="C37" s="4"/>
      <c r="D37" s="4"/>
      <c r="E37" s="4"/>
      <c r="F37" s="78"/>
      <c r="G37" s="4"/>
      <c r="H37" s="115"/>
      <c r="I37" s="115"/>
      <c r="J37" s="115"/>
      <c r="K37" s="115"/>
    </row>
    <row r="38" spans="2:11" ht="30" x14ac:dyDescent="0.25">
      <c r="B38" s="4" t="s">
        <v>67</v>
      </c>
      <c r="C38" s="4" t="s">
        <v>68</v>
      </c>
      <c r="D38" s="4"/>
      <c r="E38" s="4"/>
      <c r="F38" s="78"/>
      <c r="G38" s="4"/>
      <c r="H38" s="115"/>
      <c r="I38" s="115"/>
      <c r="J38" s="115"/>
      <c r="K38" s="115"/>
    </row>
    <row r="39" spans="2:11" x14ac:dyDescent="0.25">
      <c r="B39" s="4"/>
      <c r="C39" s="4"/>
      <c r="D39" s="4"/>
      <c r="E39" s="4"/>
      <c r="F39" s="78"/>
      <c r="G39" s="4"/>
      <c r="H39" s="115"/>
      <c r="I39" s="115"/>
      <c r="J39" s="115"/>
      <c r="K39" s="115"/>
    </row>
    <row r="40" spans="2:11" x14ac:dyDescent="0.25">
      <c r="B40" s="4" t="s">
        <v>69</v>
      </c>
      <c r="C40" s="4" t="s">
        <v>70</v>
      </c>
      <c r="D40" s="4"/>
      <c r="E40" s="4"/>
      <c r="F40" s="78"/>
      <c r="G40" s="78"/>
      <c r="H40" s="115"/>
      <c r="I40" s="115"/>
      <c r="J40" s="115"/>
      <c r="K40" s="115"/>
    </row>
    <row r="41" spans="2:11" x14ac:dyDescent="0.25">
      <c r="B41" s="4"/>
      <c r="C41" s="4"/>
      <c r="D41" s="4"/>
      <c r="E41" s="4"/>
      <c r="F41" s="78"/>
      <c r="G41" s="4"/>
      <c r="H41" s="115"/>
      <c r="I41" s="115"/>
      <c r="J41" s="115"/>
      <c r="K41" s="115"/>
    </row>
    <row r="42" spans="2:11" x14ac:dyDescent="0.25">
      <c r="B42" s="4" t="s">
        <v>71</v>
      </c>
      <c r="C42" s="4" t="s">
        <v>72</v>
      </c>
      <c r="D42" s="4">
        <f>'Energy Sales'!J41</f>
        <v>9.75</v>
      </c>
      <c r="E42" s="123">
        <f>CAGR!H41</f>
        <v>8.3511173320138798E-3</v>
      </c>
      <c r="F42" s="78">
        <f>D42*(100%+E42)^1</f>
        <v>9.8314233939871354</v>
      </c>
      <c r="G42" s="78">
        <f>F55</f>
        <v>2.9568788501026693</v>
      </c>
      <c r="H42" s="115"/>
      <c r="I42" s="115"/>
      <c r="J42" s="115"/>
      <c r="K42" s="115"/>
    </row>
    <row r="43" spans="2:11" x14ac:dyDescent="0.25">
      <c r="B43" s="4"/>
      <c r="C43" s="99" t="s">
        <v>73</v>
      </c>
      <c r="D43" s="99">
        <f>'Energy Sales'!J42</f>
        <v>1337.15</v>
      </c>
      <c r="E43" s="81">
        <f>CAGR!H42</f>
        <v>2.844649165230928E-2</v>
      </c>
      <c r="F43" s="80">
        <f>D43*(100%+E43)^1</f>
        <v>1375.1872263128855</v>
      </c>
      <c r="G43" s="78"/>
      <c r="H43" s="115"/>
      <c r="I43" s="115"/>
      <c r="J43" s="115"/>
      <c r="K43" s="115"/>
    </row>
    <row r="44" spans="2:11" x14ac:dyDescent="0.25">
      <c r="F44" s="63"/>
    </row>
    <row r="46" spans="2:11" x14ac:dyDescent="0.25">
      <c r="B46" s="257" t="s">
        <v>39</v>
      </c>
      <c r="C46" s="257"/>
      <c r="D46" s="257"/>
      <c r="E46" s="257"/>
      <c r="F46" s="257"/>
    </row>
    <row r="47" spans="2:11" x14ac:dyDescent="0.25">
      <c r="B47" s="99" t="s">
        <v>100</v>
      </c>
      <c r="C47" s="99" t="s">
        <v>32</v>
      </c>
      <c r="D47" s="99" t="s">
        <v>874</v>
      </c>
      <c r="E47" s="99" t="s">
        <v>875</v>
      </c>
      <c r="F47" s="99" t="s">
        <v>427</v>
      </c>
    </row>
    <row r="48" spans="2:11" ht="30" x14ac:dyDescent="0.25">
      <c r="B48" s="4">
        <v>1</v>
      </c>
      <c r="C48" s="13" t="s">
        <v>876</v>
      </c>
      <c r="D48" s="4">
        <v>119.49</v>
      </c>
      <c r="E48" s="4">
        <f>'Energy Sales'!I6</f>
        <v>251.62</v>
      </c>
      <c r="F48" s="79">
        <f>D48*10/E48</f>
        <v>4.7488275971703358</v>
      </c>
    </row>
    <row r="49" spans="2:6" x14ac:dyDescent="0.25">
      <c r="B49" s="4">
        <v>2</v>
      </c>
      <c r="C49" s="13" t="s">
        <v>877</v>
      </c>
      <c r="D49" s="4">
        <f>775.38+6.53+0.09</f>
        <v>782</v>
      </c>
      <c r="E49" s="4">
        <f>'Energy Sales'!I10</f>
        <v>1001.11</v>
      </c>
      <c r="F49" s="79">
        <f t="shared" ref="F49:F57" si="0">D49*10/E49</f>
        <v>7.8113294243389833</v>
      </c>
    </row>
    <row r="50" spans="2:6" ht="30" x14ac:dyDescent="0.25">
      <c r="B50" s="4">
        <v>3</v>
      </c>
      <c r="C50" s="13" t="s">
        <v>878</v>
      </c>
      <c r="D50" s="4">
        <v>0.13</v>
      </c>
      <c r="E50" s="4">
        <f>'Energy Sales'!I14</f>
        <v>0.21</v>
      </c>
      <c r="F50" s="79">
        <f t="shared" si="0"/>
        <v>6.1904761904761907</v>
      </c>
    </row>
    <row r="51" spans="2:6" x14ac:dyDescent="0.25">
      <c r="B51" s="4">
        <v>4</v>
      </c>
      <c r="C51" s="13" t="s">
        <v>55</v>
      </c>
      <c r="D51" s="4">
        <v>6.18</v>
      </c>
      <c r="E51" s="4">
        <f>'Energy Sales'!I23</f>
        <v>8.32</v>
      </c>
      <c r="F51" s="79">
        <f t="shared" si="0"/>
        <v>7.427884615384615</v>
      </c>
    </row>
    <row r="52" spans="2:6" ht="30" x14ac:dyDescent="0.25">
      <c r="B52" s="4">
        <v>5</v>
      </c>
      <c r="C52" s="13" t="s">
        <v>879</v>
      </c>
      <c r="D52" s="4">
        <v>20.86</v>
      </c>
      <c r="E52" s="4">
        <f>'Energy Sales'!I35</f>
        <v>36.229999999999997</v>
      </c>
      <c r="F52" s="79">
        <f t="shared" si="0"/>
        <v>5.7576593982887116</v>
      </c>
    </row>
    <row r="53" spans="2:6" ht="45" x14ac:dyDescent="0.25">
      <c r="B53" s="4">
        <v>6</v>
      </c>
      <c r="C53" s="13" t="s">
        <v>880</v>
      </c>
      <c r="D53" s="4"/>
      <c r="E53" s="4"/>
      <c r="F53" s="79"/>
    </row>
    <row r="54" spans="2:6" x14ac:dyDescent="0.25">
      <c r="B54" s="4">
        <v>7</v>
      </c>
      <c r="C54" s="13" t="s">
        <v>380</v>
      </c>
      <c r="D54" s="4"/>
      <c r="E54" s="4"/>
      <c r="F54" s="79"/>
    </row>
    <row r="55" spans="2:6" x14ac:dyDescent="0.25">
      <c r="B55" s="4">
        <v>8</v>
      </c>
      <c r="C55" s="13" t="s">
        <v>72</v>
      </c>
      <c r="D55" s="4">
        <v>2.88</v>
      </c>
      <c r="E55" s="78">
        <f>'Energy Sales'!I41</f>
        <v>9.74</v>
      </c>
      <c r="F55" s="79">
        <f t="shared" si="0"/>
        <v>2.9568788501026693</v>
      </c>
    </row>
    <row r="56" spans="2:6" x14ac:dyDescent="0.25">
      <c r="B56" s="4">
        <v>9</v>
      </c>
      <c r="C56" s="13" t="s">
        <v>881</v>
      </c>
      <c r="D56" s="4"/>
      <c r="E56" s="4"/>
      <c r="F56" s="79"/>
    </row>
    <row r="57" spans="2:6" x14ac:dyDescent="0.25">
      <c r="B57" s="4"/>
      <c r="C57" s="124" t="s">
        <v>73</v>
      </c>
      <c r="D57" s="4">
        <f>SUM(D48:D55)</f>
        <v>931.54</v>
      </c>
      <c r="E57" s="4">
        <f>SUM(E48:E55)</f>
        <v>1307.23</v>
      </c>
      <c r="F57" s="79">
        <f t="shared" si="0"/>
        <v>7.1260604484291203</v>
      </c>
    </row>
  </sheetData>
  <customSheetViews>
    <customSheetView guid="{9CE83D47-1940-43F4-9510-4E48915AF617}">
      <selection activeCell="B43" sqref="B3:F43"/>
      <pageMargins left="0.7" right="0.7" top="0.75" bottom="0.75" header="0.3" footer="0.3"/>
    </customSheetView>
  </customSheetViews>
  <mergeCells count="2">
    <mergeCell ref="B46:F46"/>
    <mergeCell ref="B3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57</vt:i4>
      </vt:variant>
      <vt:variant>
        <vt:lpstr>Named Ranges</vt:lpstr>
      </vt:variant>
      <vt:variant>
        <vt:i4>1</vt:i4>
      </vt:variant>
    </vt:vector>
  </HeadingPairs>
  <TitlesOfParts>
    <vt:vector size="58" baseType="lpstr">
      <vt:lpstr>Index</vt:lpstr>
      <vt:lpstr>Assumption</vt:lpstr>
      <vt:lpstr>Energy Sales</vt:lpstr>
      <vt:lpstr>Energy Balance</vt:lpstr>
      <vt:lpstr>Power Purchase Cost 2015-16</vt:lpstr>
      <vt:lpstr>CAGR</vt:lpstr>
      <vt:lpstr>Consumers</vt:lpstr>
      <vt:lpstr>Connected Load</vt:lpstr>
      <vt:lpstr>Projected Sales FY'15-16</vt:lpstr>
      <vt:lpstr>Total PPC</vt:lpstr>
      <vt:lpstr>Projected Consumers</vt:lpstr>
      <vt:lpstr>Power Factor</vt:lpstr>
      <vt:lpstr>Estd Revenue FY'15-16</vt:lpstr>
      <vt:lpstr>RPO</vt:lpstr>
      <vt:lpstr>AT&amp;C Loss</vt:lpstr>
      <vt:lpstr>Energy Requirement</vt:lpstr>
      <vt:lpstr>Transmission Loss</vt:lpstr>
      <vt:lpstr>Surplus Power</vt:lpstr>
      <vt:lpstr>Rebate</vt:lpstr>
      <vt:lpstr>PPAC</vt:lpstr>
      <vt:lpstr>O&amp;M</vt:lpstr>
      <vt:lpstr>Capex</vt:lpstr>
      <vt:lpstr>Consumer contri</vt:lpstr>
      <vt:lpstr>Grant</vt:lpstr>
      <vt:lpstr>Dep</vt:lpstr>
      <vt:lpstr>AAD</vt:lpstr>
      <vt:lpstr>MoF</vt:lpstr>
      <vt:lpstr>WC</vt:lpstr>
      <vt:lpstr>RRB</vt:lpstr>
      <vt:lpstr>E&amp;D</vt:lpstr>
      <vt:lpstr>WACC</vt:lpstr>
      <vt:lpstr>RoCE</vt:lpstr>
      <vt:lpstr>Income Tax</vt:lpstr>
      <vt:lpstr>NTI</vt:lpstr>
      <vt:lpstr>CCR</vt:lpstr>
      <vt:lpstr>ARR</vt:lpstr>
      <vt:lpstr>WR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D1</vt:lpstr>
      <vt:lpstr>D2</vt:lpstr>
      <vt:lpstr>D3</vt:lpstr>
      <vt:lpstr>D4</vt:lpstr>
      <vt:lpstr>D5</vt:lpstr>
      <vt:lpstr>PN</vt:lpstr>
      <vt:lpstr>Assumption!Print_Area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Saurabh Garg</dc:creator>
  <cp:lastModifiedBy>Kriti</cp:lastModifiedBy>
  <cp:lastPrinted>2015-03-10T13:55:38Z</cp:lastPrinted>
  <dcterms:created xsi:type="dcterms:W3CDTF">2015-01-28T08:14:32Z</dcterms:created>
  <dcterms:modified xsi:type="dcterms:W3CDTF">2015-03-10T14:03:56Z</dcterms:modified>
</cp:coreProperties>
</file>