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60" yWindow="30" windowWidth="11295" windowHeight="5505" tabRatio="941" firstSheet="7" activeTab="30"/>
  </bookViews>
  <sheets>
    <sheet name="Index" sheetId="114" r:id="rId1"/>
    <sheet name="F1" sheetId="5" r:id="rId2"/>
    <sheet name="F2 " sheetId="220" r:id="rId3"/>
    <sheet name="F3" sheetId="215" r:id="rId4"/>
    <sheet name="F4 " sheetId="214" r:id="rId5"/>
    <sheet name="F5" sheetId="195" r:id="rId6"/>
    <sheet name="F6" sheetId="196" r:id="rId7"/>
    <sheet name="F7" sheetId="198" r:id="rId8"/>
    <sheet name="F8" sheetId="199" r:id="rId9"/>
    <sheet name="F9" sheetId="201" r:id="rId10"/>
    <sheet name="F10" sheetId="202" r:id="rId11"/>
    <sheet name="F11" sheetId="203" r:id="rId12"/>
    <sheet name="F12" sheetId="200" r:id="rId13"/>
    <sheet name="F13" sheetId="204" r:id="rId14"/>
    <sheet name="F14" sheetId="221" r:id="rId15"/>
    <sheet name="F15" sheetId="206" r:id="rId16"/>
    <sheet name="F16" sheetId="207" r:id="rId17"/>
    <sheet name="F17" sheetId="208" r:id="rId18"/>
    <sheet name="F18" sheetId="210" r:id="rId19"/>
    <sheet name="F19" sheetId="211" r:id="rId20"/>
    <sheet name="F20" sheetId="187" r:id="rId21"/>
    <sheet name="F21" sheetId="188" r:id="rId22"/>
    <sheet name="F22" sheetId="189" r:id="rId23"/>
    <sheet name="F23" sheetId="191" r:id="rId24"/>
    <sheet name="F24" sheetId="190" r:id="rId25"/>
    <sheet name="F25" sheetId="192" r:id="rId26"/>
    <sheet name="F26" sheetId="193" r:id="rId27"/>
    <sheet name="F27" sheetId="194" r:id="rId28"/>
    <sheet name="F27 (a)" sheetId="218" r:id="rId29"/>
    <sheet name="F28" sheetId="212" r:id="rId30"/>
    <sheet name="F29" sheetId="213" r:id="rId3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s>
  <definedNames>
    <definedName name="__SCH6">'[1]04REL'!#REF!</definedName>
    <definedName name="_xlnm._FilterDatabase" localSheetId="24" hidden="1">'F24'!$B$7:$B$31</definedName>
    <definedName name="_Order1" hidden="1">255</definedName>
    <definedName name="_SCH6" localSheetId="15">'[1]04REL'!#REF!</definedName>
    <definedName name="_SCH6" localSheetId="18">'[1]04REL'!#REF!</definedName>
    <definedName name="_SCH6" localSheetId="19">'[1]04REL'!#REF!</definedName>
    <definedName name="_SCH6" localSheetId="20">'[2]03REL'!#REF!</definedName>
    <definedName name="_SCH6" localSheetId="21">'[1]04REL'!#REF!</definedName>
    <definedName name="_SCH6" localSheetId="2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3">'[1]04REL'!#REF!</definedName>
    <definedName name="_SCH6" localSheetId="4">'[1]04REL'!#REF!</definedName>
    <definedName name="_SCH6" localSheetId="6">'[1]04REL'!#REF!</definedName>
    <definedName name="_SCH6" localSheetId="7">'[1]04REL'!#REF!</definedName>
    <definedName name="_SCH6" localSheetId="8">'[1]04REL'!#REF!</definedName>
    <definedName name="_SCH6">'[1]04REL'!#REF!</definedName>
    <definedName name="A" localSheetId="14">#REF!</definedName>
    <definedName name="A" localSheetId="29">#REF!</definedName>
    <definedName name="A" localSheetId="30">#REF!</definedName>
    <definedName name="A">#REF!</definedName>
    <definedName name="ADL.63">[3]Addl.40!$A$38:$I$284</definedName>
    <definedName name="D">#N/A</definedName>
    <definedName name="dpc">'[4]dpc cost'!$D$1</definedName>
    <definedName name="E_315MVA_Addl_Page1" localSheetId="14">#REF!</definedName>
    <definedName name="E_315MVA_Addl_Page1" localSheetId="29">#REF!</definedName>
    <definedName name="E_315MVA_Addl_Page1" localSheetId="30">#REF!</definedName>
    <definedName name="E_315MVA_Addl_Page1">#REF!</definedName>
    <definedName name="E_315MVA_Addl_Page2" localSheetId="14">#REF!</definedName>
    <definedName name="E_315MVA_Addl_Page2" localSheetId="29">#REF!</definedName>
    <definedName name="E_315MVA_Addl_Page2" localSheetId="30">#REF!</definedName>
    <definedName name="E_315MVA_Addl_Page2">#REF!</definedName>
    <definedName name="Fuel_Exp_CY" localSheetId="14">#REF!</definedName>
    <definedName name="Fuel_Exp_CY" localSheetId="29">#REF!</definedName>
    <definedName name="Fuel_Exp_CY" localSheetId="30">#REF!</definedName>
    <definedName name="Fuel_Exp_CY">#REF!</definedName>
    <definedName name="Fuel_Exp_EY" localSheetId="14">#REF!</definedName>
    <definedName name="Fuel_Exp_EY" localSheetId="29">#REF!</definedName>
    <definedName name="Fuel_Exp_EY" localSheetId="30">#REF!</definedName>
    <definedName name="Fuel_Exp_EY">#REF!</definedName>
    <definedName name="Fuel_Exp_PY" localSheetId="14">#REF!</definedName>
    <definedName name="Fuel_Exp_PY" localSheetId="29">#REF!</definedName>
    <definedName name="Fuel_Exp_PY" localSheetId="30">#REF!</definedName>
    <definedName name="Fuel_Exp_PY">#REF!</definedName>
    <definedName name="Intt_Charge_cY" localSheetId="14">#REF!,#REF!</definedName>
    <definedName name="Intt_Charge_cY" localSheetId="20">#REF!,#REF!</definedName>
    <definedName name="Intt_Charge_cY" localSheetId="21">#REF!,#REF!</definedName>
    <definedName name="Intt_Charge_cY" localSheetId="22">'[5]A 3.7'!$H$35,'[5]A 3.7'!$H$44</definedName>
    <definedName name="Intt_Charge_cY" localSheetId="23">#REF!,#REF!</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#REF!,#REF!</definedName>
    <definedName name="Intt_Charge_cy_1" localSheetId="20">'[6]A 3.7'!$H$35,'[6]A 3.7'!$H$44</definedName>
    <definedName name="Intt_Charge_cy_1" localSheetId="21">'[6]A 3.7'!$H$35,'[6]A 3.7'!$H$44</definedName>
    <definedName name="Intt_Charge_cy_1" localSheetId="22">'[7]A 3.7'!$H$35,'[7]A 3.7'!$H$44</definedName>
    <definedName name="Intt_Charge_cy_1" localSheetId="23">'[6]A 3.7'!$H$35,'[6]A 3.7'!$H$44</definedName>
    <definedName name="Intt_Charge_cy_1" localSheetId="24">'[6]A 3.7'!$H$35,'[6]A 3.7'!$H$44</definedName>
    <definedName name="Intt_Charge_cy_1" localSheetId="25">'[6]A 3.7'!$H$35,'[6]A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'[8]A 3.7'!$H$35,'[8]A 3.7'!$H$44</definedName>
    <definedName name="Intt_Charge_cy_1" localSheetId="30">'[8]A 3.7'!$H$35,'[8]A 3.7'!$H$44</definedName>
    <definedName name="Intt_Charge_cy_1">'[9]A 3.7'!$H$35,'[9]A 3.7'!$H$44</definedName>
    <definedName name="Intt_Charge_eY" localSheetId="14">#REF!,#REF!</definedName>
    <definedName name="Intt_Charge_eY" localSheetId="20">#REF!,#REF!</definedName>
    <definedName name="Intt_Charge_eY" localSheetId="21">#REF!,#REF!</definedName>
    <definedName name="Intt_Charge_eY" localSheetId="22">'[5]A 3.7'!$I$35,'[5]A 3.7'!$I$44</definedName>
    <definedName name="Intt_Charge_eY" localSheetId="23">#REF!,#REF!</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#REF!,#REF!</definedName>
    <definedName name="Intt_Charge_ey_1" localSheetId="20">'[6]A 3.7'!$I$35,'[6]A 3.7'!$I$44</definedName>
    <definedName name="Intt_Charge_ey_1" localSheetId="21">'[6]A 3.7'!$I$35,'[6]A 3.7'!$I$44</definedName>
    <definedName name="Intt_Charge_ey_1" localSheetId="22">'[7]A 3.7'!$I$35,'[7]A 3.7'!$I$44</definedName>
    <definedName name="Intt_Charge_ey_1" localSheetId="23">'[6]A 3.7'!$I$35,'[6]A 3.7'!$I$44</definedName>
    <definedName name="Intt_Charge_ey_1" localSheetId="24">'[6]A 3.7'!$I$35,'[6]A 3.7'!$I$44</definedName>
    <definedName name="Intt_Charge_ey_1" localSheetId="25">'[6]A 3.7'!$I$35,'[6]A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'[8]A 3.7'!$I$35,'[8]A 3.7'!$I$44</definedName>
    <definedName name="Intt_Charge_ey_1" localSheetId="30">'[8]A 3.7'!$I$35,'[8]A 3.7'!$I$44</definedName>
    <definedName name="Intt_Charge_ey_1">'[9]A 3.7'!$I$35,'[9]A 3.7'!$I$44</definedName>
    <definedName name="Intt_Charge_PY" localSheetId="14">#REF!,#REF!</definedName>
    <definedName name="Intt_Charge_PY" localSheetId="20">#REF!,#REF!</definedName>
    <definedName name="Intt_Charge_PY" localSheetId="21">#REF!,#REF!</definedName>
    <definedName name="Intt_Charge_PY" localSheetId="22">'[5]A 3.7'!$G$35,'[5]A 3.7'!$G$44</definedName>
    <definedName name="Intt_Charge_PY" localSheetId="23">#REF!,#REF!</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#REF!,#REF!</definedName>
    <definedName name="Intt_Charge_py_1" localSheetId="20">'[6]A 3.7'!$G$35,'[6]A 3.7'!$G$44</definedName>
    <definedName name="Intt_Charge_py_1" localSheetId="21">'[6]A 3.7'!$G$35,'[6]A 3.7'!$G$44</definedName>
    <definedName name="Intt_Charge_py_1" localSheetId="22">'[7]A 3.7'!$G$35,'[7]A 3.7'!$G$44</definedName>
    <definedName name="Intt_Charge_py_1" localSheetId="23">'[6]A 3.7'!$G$35,'[6]A 3.7'!$G$44</definedName>
    <definedName name="Intt_Charge_py_1" localSheetId="24">'[6]A 3.7'!$G$35,'[6]A 3.7'!$G$44</definedName>
    <definedName name="Intt_Charge_py_1" localSheetId="25">'[6]A 3.7'!$G$35,'[6]A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'[8]A 3.7'!$G$35,'[8]A 3.7'!$G$44</definedName>
    <definedName name="Intt_Charge_py_1" localSheetId="30">'[8]A 3.7'!$G$35,'[8]A 3.7'!$G$44</definedName>
    <definedName name="Intt_Charge_py_1">'[9]A 3.7'!$G$35,'[9]A 3.7'!$G$44</definedName>
    <definedName name="K2000_">#N/A</definedName>
    <definedName name="Pop_Ratio" localSheetId="14">#REF!</definedName>
    <definedName name="Pop_Ratio" localSheetId="20">#REF!</definedName>
    <definedName name="Pop_Ratio" localSheetId="21">#REF!</definedName>
    <definedName name="Pop_Ratio" localSheetId="22">[5]Hidden!$B$3</definedName>
    <definedName name="Pop_Ratio" localSheetId="23">#REF!</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#REF!</definedName>
    <definedName name="_xlnm.Print_Area" localSheetId="1">'F1'!$A$1:$G$38</definedName>
    <definedName name="_xlnm.Print_Area" localSheetId="10">'F10'!$A$1:$G$95</definedName>
    <definedName name="_xlnm.Print_Area" localSheetId="11">'F11'!$A$1:$I$28</definedName>
    <definedName name="_xlnm.Print_Area" localSheetId="12">'F12'!$A$1:$K$60</definedName>
    <definedName name="_xlnm.Print_Area" localSheetId="14">'F14'!$A$1:$G$51</definedName>
    <definedName name="_xlnm.Print_Area" localSheetId="15">'F15'!$A$1:$G$57</definedName>
    <definedName name="_xlnm.Print_Area" localSheetId="16">'F16'!$A$1:$G$30</definedName>
    <definedName name="_xlnm.Print_Area" localSheetId="18">'F18'!$A$1:$G$26</definedName>
    <definedName name="_xlnm.Print_Area" localSheetId="19">'F19'!$A$1:$E$28</definedName>
    <definedName name="_xlnm.Print_Area" localSheetId="2">'F2 '!$A$1:$G$46</definedName>
    <definedName name="_xlnm.Print_Area" localSheetId="20">'F20'!$A$1:$F$28</definedName>
    <definedName name="_xlnm.Print_Area" localSheetId="21">'F21'!$A$1:$F$38</definedName>
    <definedName name="_xlnm.Print_Area" localSheetId="22">'F22'!$A$1:$F$46</definedName>
    <definedName name="_xlnm.Print_Area" localSheetId="23">'F23'!$A$1:$W$29</definedName>
    <definedName name="_xlnm.Print_Area" localSheetId="24">'F24'!$A$1:$AA$33</definedName>
    <definedName name="_xlnm.Print_Area" localSheetId="25">'F25'!$A$1:$G$18</definedName>
    <definedName name="_xlnm.Print_Area" localSheetId="26">'F26'!$A$1:$G$31</definedName>
    <definedName name="_xlnm.Print_Area" localSheetId="27">'F27'!$A$1:$F$26</definedName>
    <definedName name="_xlnm.Print_Area" localSheetId="28">'F27 (a)'!$A$1:$F$27</definedName>
    <definedName name="_xlnm.Print_Area" localSheetId="29">'F28'!$A$2:$G$15</definedName>
    <definedName name="_xlnm.Print_Area" localSheetId="30">'F29'!$A$1:$F$15</definedName>
    <definedName name="_xlnm.Print_Area" localSheetId="3">'F3'!$A$1:$G$36</definedName>
    <definedName name="_xlnm.Print_Area" localSheetId="4">'F4 '!$A$1:$G$55</definedName>
    <definedName name="_xlnm.Print_Area" localSheetId="5">'F5'!$A$1:$D$20</definedName>
    <definedName name="_xlnm.Print_Area" localSheetId="6">'F6'!$A$1:$N$47</definedName>
    <definedName name="_xlnm.Print_Area" localSheetId="7">'F7'!$A$1:$N$32</definedName>
    <definedName name="_xlnm.Print_Area" localSheetId="8">'F8'!$A$1:$D$44</definedName>
    <definedName name="_xlnm.Print_Area" localSheetId="9">'F9'!$A$1:$G$102</definedName>
    <definedName name="_xlnm.Print_Area" localSheetId="0">Index!$A$1:$D$41</definedName>
    <definedName name="_xlnm.Print_Titles" localSheetId="2">'F2 '!$4:$6</definedName>
    <definedName name="_xlnm.Print_Titles" localSheetId="21">'F21'!$1:$6</definedName>
    <definedName name="_xlnm.Print_Titles" localSheetId="22">'F22'!$1:$6</definedName>
    <definedName name="_xlnm.Print_Titles" localSheetId="23">'F23'!$1:$6</definedName>
    <definedName name="_xlnm.Print_Titles" localSheetId="24">'F24'!$1:$6</definedName>
    <definedName name="_xlnm.Print_Titles" localSheetId="25">'F25'!$1:$6</definedName>
    <definedName name="_xlnm.Print_Titles" localSheetId="26">'F26'!$1:$6</definedName>
    <definedName name="_xlnm.Print_Titles" localSheetId="27">'F27'!$1:$6</definedName>
    <definedName name="_xlnm.Print_Titles" localSheetId="28">'F27 (a)'!$1:$6</definedName>
    <definedName name="_xlnm.Print_Titles" localSheetId="3">'F3'!$4:$6</definedName>
    <definedName name="q" localSheetId="29">'[10]A 3.7'!$I$35,'[10]A 3.7'!$I$44</definedName>
    <definedName name="q" localSheetId="30">'[10]A 3.7'!$I$35,'[10]A 3.7'!$I$44</definedName>
    <definedName name="q">'[11]A 3.7'!$I$35,'[11]A 3.7'!$I$44</definedName>
    <definedName name="shft1">[4]SUMMERY!$P$1</definedName>
    <definedName name="shftI" localSheetId="20">[12]SUMMERY!$P$1</definedName>
    <definedName name="shftI" localSheetId="21">[12]SUMMERY!$P$1</definedName>
    <definedName name="shftI" localSheetId="22">[12]SUMMERY!$P$1</definedName>
    <definedName name="shftI" localSheetId="23">[12]SUMMERY!$P$1</definedName>
    <definedName name="shftI" localSheetId="24">[12]SUMMERY!$P$1</definedName>
    <definedName name="shftI" localSheetId="25">[12]SUMMERY!$P$1</definedName>
    <definedName name="shftI" localSheetId="26">[12]SUMMERY!$P$1</definedName>
    <definedName name="shftI" localSheetId="27">[12]SUMMERY!$P$1</definedName>
    <definedName name="shftI" localSheetId="28">[12]SUMMERY!$P$1</definedName>
    <definedName name="shftI" localSheetId="29">[13]SUMMERY!$P$1</definedName>
    <definedName name="shftI" localSheetId="30">[13]SUMMERY!$P$1</definedName>
    <definedName name="shftI">[14]SUMMERY!$P$1</definedName>
    <definedName name="X1_" localSheetId="14">#REF!</definedName>
    <definedName name="X1_" localSheetId="29">#REF!</definedName>
    <definedName name="X1_" localSheetId="30">#REF!</definedName>
    <definedName name="X1_">#REF!</definedName>
  </definedNames>
  <calcPr calcId="124519"/>
</workbook>
</file>

<file path=xl/calcChain.xml><?xml version="1.0" encoding="utf-8"?>
<calcChain xmlns="http://schemas.openxmlformats.org/spreadsheetml/2006/main">
  <c r="F9" i="188"/>
  <c r="E21" i="207"/>
  <c r="E18"/>
  <c r="E16"/>
  <c r="E12"/>
  <c r="D21"/>
  <c r="D18"/>
  <c r="D17"/>
  <c r="D16"/>
  <c r="D15"/>
  <c r="D13"/>
  <c r="D12"/>
  <c r="D10"/>
  <c r="D9"/>
  <c r="C21"/>
  <c r="C18"/>
  <c r="C15"/>
  <c r="C14"/>
  <c r="C13"/>
  <c r="C12"/>
  <c r="C11"/>
  <c r="C10"/>
  <c r="C9"/>
  <c r="X3" i="190"/>
  <c r="V2"/>
  <c r="AA5"/>
  <c r="T3" i="191"/>
  <c r="R2"/>
  <c r="M5"/>
  <c r="W5"/>
  <c r="C19" i="5" s="1"/>
  <c r="C2" i="189"/>
  <c r="C2" i="188"/>
  <c r="C2" i="187"/>
  <c r="G5" i="221"/>
  <c r="A5"/>
  <c r="B3"/>
  <c r="A3"/>
  <c r="B2"/>
  <c r="A2"/>
  <c r="R12" i="190"/>
  <c r="L12"/>
  <c r="E12"/>
  <c r="I12" s="1"/>
  <c r="D14" i="195"/>
  <c r="D11"/>
  <c r="F13" i="194"/>
  <c r="F21" s="1"/>
  <c r="E13"/>
  <c r="E21" s="1"/>
  <c r="D13"/>
  <c r="D21" s="1"/>
  <c r="E12"/>
  <c r="F12"/>
  <c r="D12"/>
  <c r="G39" i="214"/>
  <c r="F39"/>
  <c r="C28" i="189"/>
  <c r="I39" i="214"/>
  <c r="H39"/>
  <c r="F24" i="5"/>
  <c r="G24"/>
  <c r="F13" i="192"/>
  <c r="G13"/>
  <c r="E13"/>
  <c r="D13"/>
  <c r="F23" i="214"/>
  <c r="F25"/>
  <c r="F42" s="1"/>
  <c r="G11"/>
  <c r="H19" s="1"/>
  <c r="F11"/>
  <c r="E24" i="5"/>
  <c r="D24"/>
  <c r="Q28" i="191"/>
  <c r="F28" i="189"/>
  <c r="F10"/>
  <c r="F20"/>
  <c r="F20" i="187"/>
  <c r="F11"/>
  <c r="F9"/>
  <c r="G11" i="190"/>
  <c r="O24" i="191"/>
  <c r="H11"/>
  <c r="H12"/>
  <c r="H13"/>
  <c r="H14"/>
  <c r="H15"/>
  <c r="H16"/>
  <c r="H17"/>
  <c r="H18"/>
  <c r="H19"/>
  <c r="H20"/>
  <c r="H21"/>
  <c r="H22"/>
  <c r="H23"/>
  <c r="H24"/>
  <c r="H25"/>
  <c r="G28"/>
  <c r="D19" i="5" s="1"/>
  <c r="E27" i="191"/>
  <c r="H27" s="1"/>
  <c r="I27" s="1"/>
  <c r="M27" s="1"/>
  <c r="N27" s="1"/>
  <c r="R27" s="1"/>
  <c r="S27" s="1"/>
  <c r="D10"/>
  <c r="D28" i="189"/>
  <c r="G23" i="214"/>
  <c r="H25"/>
  <c r="G20"/>
  <c r="E23"/>
  <c r="E22" s="1"/>
  <c r="D23"/>
  <c r="D22" s="1"/>
  <c r="L28" i="191"/>
  <c r="K28"/>
  <c r="J28"/>
  <c r="F27"/>
  <c r="F26"/>
  <c r="H26" s="1"/>
  <c r="E28"/>
  <c r="D28"/>
  <c r="D9" i="192"/>
  <c r="G13" i="214"/>
  <c r="G14" s="1"/>
  <c r="G12" i="5" s="1"/>
  <c r="D20" i="189"/>
  <c r="C20"/>
  <c r="E9" i="188"/>
  <c r="F30" s="1"/>
  <c r="F32" s="1"/>
  <c r="G17" i="5" s="1"/>
  <c r="D9" i="188"/>
  <c r="C9"/>
  <c r="D20" i="187"/>
  <c r="D9"/>
  <c r="C11"/>
  <c r="C9"/>
  <c r="C3" i="213"/>
  <c r="C2"/>
  <c r="F5"/>
  <c r="F5" i="212"/>
  <c r="G5" i="193"/>
  <c r="C22" i="5" s="1"/>
  <c r="G5" i="192"/>
  <c r="C21" i="5" s="1"/>
  <c r="F5" i="189"/>
  <c r="C18" i="5" s="1"/>
  <c r="F5" i="188"/>
  <c r="C17" i="5" s="1"/>
  <c r="F5" i="187"/>
  <c r="C16" i="5" s="1"/>
  <c r="G5" i="208"/>
  <c r="G5" i="214"/>
  <c r="G5" i="215"/>
  <c r="G5" i="5"/>
  <c r="F5" i="218"/>
  <c r="A2" i="220"/>
  <c r="C2"/>
  <c r="A3"/>
  <c r="C3"/>
  <c r="A5"/>
  <c r="F5"/>
  <c r="A10" i="214"/>
  <c r="A11" s="1"/>
  <c r="A12" s="1"/>
  <c r="A13" s="1"/>
  <c r="A14" s="1"/>
  <c r="A15" s="1"/>
  <c r="A18" s="1"/>
  <c r="A19" s="1"/>
  <c r="A20" s="1"/>
  <c r="A21" s="1"/>
  <c r="A22" s="1"/>
  <c r="A23" s="1"/>
  <c r="A24" s="1"/>
  <c r="A25" s="1"/>
  <c r="A28" s="1"/>
  <c r="A29" s="1"/>
  <c r="A30" s="1"/>
  <c r="A31" s="1"/>
  <c r="A32" s="1"/>
  <c r="A35" s="1"/>
  <c r="A36" s="1"/>
  <c r="A37" s="1"/>
  <c r="A38" s="1"/>
  <c r="A39" s="1"/>
  <c r="F44"/>
  <c r="E42"/>
  <c r="E28" i="5" s="1"/>
  <c r="E44" i="214"/>
  <c r="D42"/>
  <c r="D28" i="5" s="1"/>
  <c r="D44" i="214"/>
  <c r="E14"/>
  <c r="E47"/>
  <c r="E29" i="5" s="1"/>
  <c r="D14" i="214"/>
  <c r="D47" s="1"/>
  <c r="D29" i="5" s="1"/>
  <c r="E10" i="218"/>
  <c r="E12" s="1"/>
  <c r="F10"/>
  <c r="F12" s="1"/>
  <c r="D10"/>
  <c r="D12" s="1"/>
  <c r="F11" i="193"/>
  <c r="D11"/>
  <c r="E10"/>
  <c r="O28" i="191"/>
  <c r="F10" i="192" s="1"/>
  <c r="T28" i="191"/>
  <c r="A5" i="213"/>
  <c r="A5" i="212"/>
  <c r="A2" i="218"/>
  <c r="C2"/>
  <c r="A3"/>
  <c r="C3"/>
  <c r="A5"/>
  <c r="A9"/>
  <c r="A10" s="1"/>
  <c r="A11" s="1"/>
  <c r="A12" s="1"/>
  <c r="A13" s="1"/>
  <c r="A14" s="1"/>
  <c r="A15" s="1"/>
  <c r="A16" s="1"/>
  <c r="A17" s="1"/>
  <c r="A18" s="1"/>
  <c r="A19" s="1"/>
  <c r="A20" s="1"/>
  <c r="A21" s="1"/>
  <c r="A22" s="1"/>
  <c r="D21" i="187"/>
  <c r="D23"/>
  <c r="E16" i="5" s="1"/>
  <c r="E21" i="187"/>
  <c r="E23" s="1"/>
  <c r="F16" i="5" s="1"/>
  <c r="F21" i="187"/>
  <c r="F23"/>
  <c r="G16" i="5" s="1"/>
  <c r="C21" i="187"/>
  <c r="C23" s="1"/>
  <c r="D16" i="5" s="1"/>
  <c r="E12"/>
  <c r="E12" i="214"/>
  <c r="E11" i="5" s="1"/>
  <c r="F11"/>
  <c r="D12" i="214"/>
  <c r="D11" i="5"/>
  <c r="E10"/>
  <c r="F10"/>
  <c r="G10"/>
  <c r="D10"/>
  <c r="A2" i="215"/>
  <c r="C2"/>
  <c r="A3"/>
  <c r="C3"/>
  <c r="A5"/>
  <c r="A11"/>
  <c r="A12" s="1"/>
  <c r="A13" s="1"/>
  <c r="A14" s="1"/>
  <c r="A15" s="1"/>
  <c r="A16" s="1"/>
  <c r="A17" s="1"/>
  <c r="A18" s="1"/>
  <c r="A19" s="1"/>
  <c r="A20" s="1"/>
  <c r="A21" s="1"/>
  <c r="A22" s="1"/>
  <c r="A23" s="1"/>
  <c r="A24" s="1"/>
  <c r="A2" i="214"/>
  <c r="C2"/>
  <c r="A3"/>
  <c r="C3"/>
  <c r="A5"/>
  <c r="D20"/>
  <c r="E20"/>
  <c r="D37"/>
  <c r="D40"/>
  <c r="F37"/>
  <c r="F40"/>
  <c r="E37"/>
  <c r="E40"/>
  <c r="G37"/>
  <c r="G40"/>
  <c r="E41" i="189"/>
  <c r="E43" s="1"/>
  <c r="F18" i="5" s="1"/>
  <c r="D41" i="189"/>
  <c r="D43" s="1"/>
  <c r="E18" i="5" s="1"/>
  <c r="F14" i="212"/>
  <c r="E14"/>
  <c r="D14"/>
  <c r="C14"/>
  <c r="X20" i="190"/>
  <c r="I11" i="191"/>
  <c r="M11" s="1"/>
  <c r="N11" s="1"/>
  <c r="R11" s="1"/>
  <c r="S11" s="1"/>
  <c r="I12"/>
  <c r="M12"/>
  <c r="N12" s="1"/>
  <c r="R12" s="1"/>
  <c r="S12" s="1"/>
  <c r="I13"/>
  <c r="M13" s="1"/>
  <c r="N13" s="1"/>
  <c r="R13" s="1"/>
  <c r="S13" s="1"/>
  <c r="I14"/>
  <c r="M14"/>
  <c r="N14" s="1"/>
  <c r="R14" s="1"/>
  <c r="S14" s="1"/>
  <c r="I15"/>
  <c r="M15" s="1"/>
  <c r="N15" s="1"/>
  <c r="R15" s="1"/>
  <c r="S15" s="1"/>
  <c r="I16"/>
  <c r="M16"/>
  <c r="N16" s="1"/>
  <c r="R16" s="1"/>
  <c r="S16" s="1"/>
  <c r="I17"/>
  <c r="M17" s="1"/>
  <c r="N17" s="1"/>
  <c r="R17" s="1"/>
  <c r="S17" s="1"/>
  <c r="I18"/>
  <c r="M18"/>
  <c r="N18" s="1"/>
  <c r="R18" s="1"/>
  <c r="S18" s="1"/>
  <c r="I19"/>
  <c r="M19" s="1"/>
  <c r="N19" s="1"/>
  <c r="R19" s="1"/>
  <c r="S19" s="1"/>
  <c r="I20"/>
  <c r="M20"/>
  <c r="N20" s="1"/>
  <c r="R20" s="1"/>
  <c r="S20" s="1"/>
  <c r="I21"/>
  <c r="M21" s="1"/>
  <c r="N21" s="1"/>
  <c r="R21" s="1"/>
  <c r="S21" s="1"/>
  <c r="I22"/>
  <c r="M22"/>
  <c r="N22" s="1"/>
  <c r="R22" s="1"/>
  <c r="S22" s="1"/>
  <c r="I23"/>
  <c r="M23" s="1"/>
  <c r="N23" s="1"/>
  <c r="R23" s="1"/>
  <c r="S23" s="1"/>
  <c r="I24"/>
  <c r="M24"/>
  <c r="N24" s="1"/>
  <c r="R24" s="1"/>
  <c r="S24" s="1"/>
  <c r="I25"/>
  <c r="M25" s="1"/>
  <c r="N25" s="1"/>
  <c r="R25" s="1"/>
  <c r="S25" s="1"/>
  <c r="H10"/>
  <c r="I10" s="1"/>
  <c r="U28"/>
  <c r="P28"/>
  <c r="D8" i="210"/>
  <c r="AA22" i="190"/>
  <c r="U22"/>
  <c r="O22"/>
  <c r="Z27"/>
  <c r="V31"/>
  <c r="R20"/>
  <c r="P31"/>
  <c r="L20"/>
  <c r="J31"/>
  <c r="I19"/>
  <c r="H19" s="1"/>
  <c r="I18"/>
  <c r="H18" s="1"/>
  <c r="I11"/>
  <c r="O26"/>
  <c r="Q26" s="1"/>
  <c r="O25"/>
  <c r="Q25"/>
  <c r="O24"/>
  <c r="Q24"/>
  <c r="O23"/>
  <c r="G20"/>
  <c r="E20"/>
  <c r="Y27"/>
  <c r="Y15"/>
  <c r="X27"/>
  <c r="X15"/>
  <c r="T27"/>
  <c r="S27"/>
  <c r="S15"/>
  <c r="R27"/>
  <c r="R15"/>
  <c r="N27"/>
  <c r="M15"/>
  <c r="M27"/>
  <c r="L15"/>
  <c r="L27"/>
  <c r="K27"/>
  <c r="I27"/>
  <c r="H27"/>
  <c r="G27"/>
  <c r="G15"/>
  <c r="F27"/>
  <c r="F15"/>
  <c r="E27"/>
  <c r="E15"/>
  <c r="E29"/>
  <c r="E31" s="1"/>
  <c r="C41" i="189"/>
  <c r="C43" s="1"/>
  <c r="D18" i="5" s="1"/>
  <c r="E30" i="188"/>
  <c r="E32" s="1"/>
  <c r="F17" i="5" s="1"/>
  <c r="D30" i="188"/>
  <c r="D32"/>
  <c r="E17" i="5" s="1"/>
  <c r="C30" i="188"/>
  <c r="C32" s="1"/>
  <c r="D17" i="5" s="1"/>
  <c r="A3" i="213"/>
  <c r="A2"/>
  <c r="C3" i="212"/>
  <c r="C2"/>
  <c r="A3"/>
  <c r="A2"/>
  <c r="C3" i="195"/>
  <c r="C2"/>
  <c r="C3" i="196"/>
  <c r="C2"/>
  <c r="C3" i="198"/>
  <c r="C2"/>
  <c r="C3" i="199"/>
  <c r="C2"/>
  <c r="C3" i="201"/>
  <c r="C2"/>
  <c r="C3" i="202"/>
  <c r="C2"/>
  <c r="C3" i="203"/>
  <c r="C2"/>
  <c r="C3" i="200"/>
  <c r="C2"/>
  <c r="C3" i="204"/>
  <c r="C2"/>
  <c r="B3" i="206"/>
  <c r="B2"/>
  <c r="C3" i="207"/>
  <c r="C2"/>
  <c r="A2"/>
  <c r="A3"/>
  <c r="B3" i="208"/>
  <c r="B2"/>
  <c r="D3" i="210"/>
  <c r="A3"/>
  <c r="D2"/>
  <c r="A2"/>
  <c r="D3" i="211"/>
  <c r="D2"/>
  <c r="D3" i="187"/>
  <c r="D3" i="188"/>
  <c r="D3" i="189"/>
  <c r="C3" i="194"/>
  <c r="C2"/>
  <c r="C3" i="193"/>
  <c r="C2"/>
  <c r="C3" i="192"/>
  <c r="C2"/>
  <c r="C3" i="190"/>
  <c r="C2"/>
  <c r="C3" i="191"/>
  <c r="C2"/>
  <c r="C3" i="5"/>
  <c r="C2"/>
  <c r="F5" i="194"/>
  <c r="A5"/>
  <c r="E5" i="211"/>
  <c r="A5"/>
  <c r="A3"/>
  <c r="A2"/>
  <c r="G5" i="210"/>
  <c r="A5"/>
  <c r="A5" i="208"/>
  <c r="A3"/>
  <c r="A2"/>
  <c r="G5" i="207"/>
  <c r="A5"/>
  <c r="G5" i="206"/>
  <c r="A5"/>
  <c r="A3"/>
  <c r="A2"/>
  <c r="G22" i="204"/>
  <c r="E22"/>
  <c r="C22"/>
  <c r="E17"/>
  <c r="G17"/>
  <c r="C17"/>
  <c r="G5"/>
  <c r="A5"/>
  <c r="A3"/>
  <c r="A2"/>
  <c r="D53" i="200"/>
  <c r="E53"/>
  <c r="F53"/>
  <c r="G53"/>
  <c r="H53"/>
  <c r="I53"/>
  <c r="J53"/>
  <c r="K53"/>
  <c r="C53"/>
  <c r="D42"/>
  <c r="E42"/>
  <c r="F42"/>
  <c r="G42"/>
  <c r="H42"/>
  <c r="I42"/>
  <c r="J42"/>
  <c r="K42"/>
  <c r="D43"/>
  <c r="E43"/>
  <c r="F43"/>
  <c r="G43"/>
  <c r="H43"/>
  <c r="I43"/>
  <c r="J43"/>
  <c r="K43"/>
  <c r="D44"/>
  <c r="E44"/>
  <c r="F44"/>
  <c r="G44"/>
  <c r="H44"/>
  <c r="I44"/>
  <c r="J44"/>
  <c r="K44"/>
  <c r="C44"/>
  <c r="C43"/>
  <c r="C42"/>
  <c r="D24"/>
  <c r="E24"/>
  <c r="F24"/>
  <c r="G24"/>
  <c r="H24"/>
  <c r="I24"/>
  <c r="J24"/>
  <c r="K24"/>
  <c r="D25"/>
  <c r="E25"/>
  <c r="F25"/>
  <c r="G25"/>
  <c r="H25"/>
  <c r="I25"/>
  <c r="J25"/>
  <c r="K25"/>
  <c r="D26"/>
  <c r="E26"/>
  <c r="F26"/>
  <c r="G26"/>
  <c r="H26"/>
  <c r="I26"/>
  <c r="J26"/>
  <c r="K26"/>
  <c r="C26"/>
  <c r="C25"/>
  <c r="C24"/>
  <c r="K5"/>
  <c r="I5" i="203"/>
  <c r="A5" i="200"/>
  <c r="A3"/>
  <c r="A2"/>
  <c r="A3" i="203"/>
  <c r="A2"/>
  <c r="A5"/>
  <c r="G5" i="201"/>
  <c r="A5"/>
  <c r="G5" i="202"/>
  <c r="A5"/>
  <c r="A3"/>
  <c r="A2"/>
  <c r="A3" i="201"/>
  <c r="A2"/>
  <c r="D5" i="199"/>
  <c r="A5"/>
  <c r="A3"/>
  <c r="A2"/>
  <c r="N5" i="198"/>
  <c r="A5"/>
  <c r="A3"/>
  <c r="A2"/>
  <c r="N5" i="196"/>
  <c r="A5"/>
  <c r="A3"/>
  <c r="A2"/>
  <c r="A5" i="195"/>
  <c r="A9"/>
  <c r="A10" s="1"/>
  <c r="A11" s="1"/>
  <c r="A12" s="1"/>
  <c r="A13" s="1"/>
  <c r="A14" s="1"/>
  <c r="A3"/>
  <c r="A2"/>
  <c r="A9" i="194"/>
  <c r="A10" s="1"/>
  <c r="A11" s="1"/>
  <c r="A12" s="1"/>
  <c r="A13" s="1"/>
  <c r="A14" s="1"/>
  <c r="A15" s="1"/>
  <c r="A16" s="1"/>
  <c r="A17" s="1"/>
  <c r="A18" s="1"/>
  <c r="A19" s="1"/>
  <c r="A20" s="1"/>
  <c r="A21" s="1"/>
  <c r="A22" s="1"/>
  <c r="A3"/>
  <c r="A2"/>
  <c r="A21" i="193"/>
  <c r="A22" s="1"/>
  <c r="A23" s="1"/>
  <c r="A24" s="1"/>
  <c r="A5"/>
  <c r="A11"/>
  <c r="A12"/>
  <c r="A3"/>
  <c r="A2"/>
  <c r="A10" i="192"/>
  <c r="A11"/>
  <c r="A12" s="1"/>
  <c r="A13" s="1"/>
  <c r="A14" s="1"/>
  <c r="A5"/>
  <c r="A3"/>
  <c r="A2"/>
  <c r="O5" i="190"/>
  <c r="C20" i="5" s="1"/>
  <c r="A5" i="190"/>
  <c r="A5" i="191"/>
  <c r="A3"/>
  <c r="A2"/>
  <c r="A3" i="190"/>
  <c r="A2"/>
  <c r="A5" i="189"/>
  <c r="A10"/>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40" s="1"/>
  <c r="A3"/>
  <c r="A2"/>
  <c r="A10" i="188"/>
  <c r="A11" s="1"/>
  <c r="A12" s="1"/>
  <c r="A13" s="1"/>
  <c r="A14" s="1"/>
  <c r="A15" s="1"/>
  <c r="A16" s="1"/>
  <c r="A17" s="1"/>
  <c r="A18" s="1"/>
  <c r="A19" s="1"/>
  <c r="A20" s="1"/>
  <c r="A21" s="1"/>
  <c r="A22" s="1"/>
  <c r="A23" s="1"/>
  <c r="A24" s="1"/>
  <c r="A25" s="1"/>
  <c r="A26" s="1"/>
  <c r="A27" s="1"/>
  <c r="A28" s="1"/>
  <c r="A29" s="1"/>
  <c r="A31" s="1"/>
  <c r="A5"/>
  <c r="A3"/>
  <c r="A2"/>
  <c r="A22" i="187"/>
  <c r="A5"/>
  <c r="A3"/>
  <c r="A2"/>
  <c r="A13" i="193"/>
  <c r="A14" s="1"/>
  <c r="A5" i="5"/>
  <c r="A3"/>
  <c r="A2"/>
  <c r="A9" i="114"/>
  <c r="A10"/>
  <c r="A11" s="1"/>
  <c r="A12" s="1"/>
  <c r="A13" s="1"/>
  <c r="A14" s="1"/>
  <c r="A15" s="1"/>
  <c r="A16" s="1"/>
  <c r="A17" s="1"/>
  <c r="A18" s="1"/>
  <c r="A19" s="1"/>
  <c r="A20" s="1"/>
  <c r="A21" s="1"/>
  <c r="A22" s="1"/>
  <c r="A23" s="1"/>
  <c r="A24" s="1"/>
  <c r="A25" s="1"/>
  <c r="A26" s="1"/>
  <c r="A27" s="1"/>
  <c r="A28" s="1"/>
  <c r="A29" s="1"/>
  <c r="A30" s="1"/>
  <c r="A31" s="1"/>
  <c r="A32" s="1"/>
  <c r="A33" s="1"/>
  <c r="A34" s="1"/>
  <c r="A35" s="1"/>
  <c r="A36" s="1"/>
  <c r="C47" i="200"/>
  <c r="K48"/>
  <c r="I48"/>
  <c r="G48"/>
  <c r="E48"/>
  <c r="K47"/>
  <c r="I47"/>
  <c r="G47"/>
  <c r="E47"/>
  <c r="K46"/>
  <c r="I46"/>
  <c r="G46"/>
  <c r="E46"/>
  <c r="C46"/>
  <c r="C48"/>
  <c r="J48"/>
  <c r="H48"/>
  <c r="F48"/>
  <c r="D48"/>
  <c r="J47"/>
  <c r="H47"/>
  <c r="F47"/>
  <c r="D47"/>
  <c r="J46"/>
  <c r="H46"/>
  <c r="F46"/>
  <c r="D46"/>
  <c r="D13" i="210"/>
  <c r="D18" i="208"/>
  <c r="F13" i="210"/>
  <c r="G44" i="214"/>
  <c r="C18" i="208"/>
  <c r="E13" i="210"/>
  <c r="G13"/>
  <c r="G11" i="193"/>
  <c r="M20" i="190"/>
  <c r="M29" s="1"/>
  <c r="M31" s="1"/>
  <c r="Q23"/>
  <c r="U23"/>
  <c r="W23" s="1"/>
  <c r="O27"/>
  <c r="G29"/>
  <c r="G31"/>
  <c r="L29"/>
  <c r="L31"/>
  <c r="R29"/>
  <c r="R31"/>
  <c r="X29"/>
  <c r="X31"/>
  <c r="U24"/>
  <c r="S20"/>
  <c r="S29" s="1"/>
  <c r="S31" s="1"/>
  <c r="Y20"/>
  <c r="Y29"/>
  <c r="Y31" s="1"/>
  <c r="W24"/>
  <c r="AA24" s="1"/>
  <c r="G11" i="5"/>
  <c r="B18" i="208"/>
  <c r="E19" i="5"/>
  <c r="K19" i="190"/>
  <c r="K11"/>
  <c r="U25"/>
  <c r="W25" s="1"/>
  <c r="AA25" s="1"/>
  <c r="F20"/>
  <c r="F29" s="1"/>
  <c r="F31" s="1"/>
  <c r="O19"/>
  <c r="Q19"/>
  <c r="O11"/>
  <c r="N11" s="1"/>
  <c r="I20"/>
  <c r="N19"/>
  <c r="F19" i="5"/>
  <c r="G21" i="214"/>
  <c r="G10" i="192"/>
  <c r="G25" i="214"/>
  <c r="G42" s="1"/>
  <c r="F21"/>
  <c r="D10" i="193"/>
  <c r="E11"/>
  <c r="F13" i="214"/>
  <c r="F14" s="1"/>
  <c r="F12" i="5" s="1"/>
  <c r="F20" i="214"/>
  <c r="H36"/>
  <c r="D12" i="5"/>
  <c r="E10" i="192"/>
  <c r="F41" i="189" l="1"/>
  <c r="F43" s="1"/>
  <c r="G18" i="5" s="1"/>
  <c r="G15" s="1"/>
  <c r="D18" i="210"/>
  <c r="E8" s="1"/>
  <c r="E18" s="1"/>
  <c r="F8" s="1"/>
  <c r="F18" s="1"/>
  <c r="G8" s="1"/>
  <c r="G18" s="1"/>
  <c r="G28" i="5"/>
  <c r="G47" i="214"/>
  <c r="G29" i="5" s="1"/>
  <c r="G10" i="193"/>
  <c r="AA23" i="190"/>
  <c r="Q27"/>
  <c r="U26"/>
  <c r="M10" i="191"/>
  <c r="W24"/>
  <c r="V24"/>
  <c r="W23"/>
  <c r="V23" s="1"/>
  <c r="W20"/>
  <c r="V20"/>
  <c r="W19"/>
  <c r="V19" s="1"/>
  <c r="W16"/>
  <c r="V16"/>
  <c r="W15"/>
  <c r="V15" s="1"/>
  <c r="W12"/>
  <c r="V12" s="1"/>
  <c r="W11"/>
  <c r="V11"/>
  <c r="F28" i="5"/>
  <c r="F47" i="214"/>
  <c r="F29" i="5" s="1"/>
  <c r="F10" i="193"/>
  <c r="H20" i="190"/>
  <c r="F15" i="5"/>
  <c r="W25" i="191"/>
  <c r="V25"/>
  <c r="W22"/>
  <c r="V22"/>
  <c r="W21"/>
  <c r="V21" s="1"/>
  <c r="W18"/>
  <c r="V18"/>
  <c r="W17"/>
  <c r="V17" s="1"/>
  <c r="W14"/>
  <c r="V14"/>
  <c r="W13"/>
  <c r="V13"/>
  <c r="I26"/>
  <c r="M26" s="1"/>
  <c r="N26" s="1"/>
  <c r="R26" s="1"/>
  <c r="S26" s="1"/>
  <c r="H28"/>
  <c r="W27"/>
  <c r="V27" s="1"/>
  <c r="K12" i="190"/>
  <c r="I15"/>
  <c r="I29" s="1"/>
  <c r="I31" s="1"/>
  <c r="D15" i="5"/>
  <c r="E15"/>
  <c r="F28" i="191"/>
  <c r="D10" i="192" s="1"/>
  <c r="D11" s="1"/>
  <c r="H12" i="190"/>
  <c r="H15" s="1"/>
  <c r="Q11"/>
  <c r="U19"/>
  <c r="W19" s="1"/>
  <c r="K18"/>
  <c r="I36" i="214"/>
  <c r="G12" i="193" l="1"/>
  <c r="G13"/>
  <c r="E9" i="192"/>
  <c r="E11" s="1"/>
  <c r="F9" s="1"/>
  <c r="D12"/>
  <c r="D14" s="1"/>
  <c r="U11" i="190"/>
  <c r="T11" s="1"/>
  <c r="D13" i="193"/>
  <c r="D12"/>
  <c r="D15" s="1"/>
  <c r="D17" s="1"/>
  <c r="D22" i="5" s="1"/>
  <c r="N10" i="191"/>
  <c r="M28"/>
  <c r="W26" i="190"/>
  <c r="U27"/>
  <c r="H29"/>
  <c r="H31" s="1"/>
  <c r="D20" i="5" s="1"/>
  <c r="G15" i="193"/>
  <c r="G17" s="1"/>
  <c r="G22" i="5" s="1"/>
  <c r="K20" i="190"/>
  <c r="O18"/>
  <c r="N18"/>
  <c r="N20" s="1"/>
  <c r="AA19"/>
  <c r="Z19" s="1"/>
  <c r="E13" i="193"/>
  <c r="E12"/>
  <c r="K15" i="190"/>
  <c r="O12"/>
  <c r="V26" i="191"/>
  <c r="W26"/>
  <c r="F13" i="193"/>
  <c r="F12"/>
  <c r="T19" i="190"/>
  <c r="I28" i="191"/>
  <c r="F11" i="192"/>
  <c r="G9" s="1"/>
  <c r="E12" l="1"/>
  <c r="E14" s="1"/>
  <c r="K29" i="190"/>
  <c r="K31" s="1"/>
  <c r="Q12"/>
  <c r="O15"/>
  <c r="Q18"/>
  <c r="O20"/>
  <c r="O29" s="1"/>
  <c r="O31" s="1"/>
  <c r="AA26"/>
  <c r="AA27" s="1"/>
  <c r="W27"/>
  <c r="N28" i="191"/>
  <c r="R10"/>
  <c r="W11" i="190"/>
  <c r="C9" i="213"/>
  <c r="D23" i="5" s="1"/>
  <c r="D21"/>
  <c r="F12" i="192"/>
  <c r="F14" s="1"/>
  <c r="E9" i="213" s="1"/>
  <c r="F23" i="5" s="1"/>
  <c r="F15" i="193"/>
  <c r="F17" s="1"/>
  <c r="F22" i="5" s="1"/>
  <c r="N12" i="190"/>
  <c r="N15" s="1"/>
  <c r="N29" s="1"/>
  <c r="N31" s="1"/>
  <c r="E20" i="5" s="1"/>
  <c r="E15" i="193"/>
  <c r="E17" s="1"/>
  <c r="E22" i="5" s="1"/>
  <c r="F21"/>
  <c r="D9" i="213"/>
  <c r="E23" i="5" s="1"/>
  <c r="E21"/>
  <c r="G11" i="192"/>
  <c r="G12" s="1"/>
  <c r="G14" s="1"/>
  <c r="D25" i="5" l="1"/>
  <c r="D33" s="1"/>
  <c r="Q20" i="190"/>
  <c r="U18"/>
  <c r="U12"/>
  <c r="T12"/>
  <c r="T15" s="1"/>
  <c r="Q15"/>
  <c r="AA11"/>
  <c r="Z11"/>
  <c r="S10" i="191"/>
  <c r="R28"/>
  <c r="F9" i="213"/>
  <c r="G23" i="5" s="1"/>
  <c r="G21"/>
  <c r="E25"/>
  <c r="E33" s="1"/>
  <c r="W10" i="191" l="1"/>
  <c r="S28"/>
  <c r="W28" s="1"/>
  <c r="V10"/>
  <c r="V28" s="1"/>
  <c r="G19" i="5" s="1"/>
  <c r="W18" i="190"/>
  <c r="U20"/>
  <c r="Q29"/>
  <c r="Q31" s="1"/>
  <c r="W12"/>
  <c r="U15"/>
  <c r="T18"/>
  <c r="T20" s="1"/>
  <c r="T29" s="1"/>
  <c r="T31" s="1"/>
  <c r="F20" i="5" s="1"/>
  <c r="F25" s="1"/>
  <c r="F33" s="1"/>
  <c r="U29" i="190" l="1"/>
  <c r="U31" s="1"/>
  <c r="AA12"/>
  <c r="AA15" s="1"/>
  <c r="W15"/>
  <c r="W20"/>
  <c r="Z18"/>
  <c r="Z20" s="1"/>
  <c r="AA18"/>
  <c r="AA20" s="1"/>
  <c r="AA29" s="1"/>
  <c r="AA31" s="1"/>
  <c r="W29" l="1"/>
  <c r="W31" s="1"/>
  <c r="Z12"/>
  <c r="Z15" s="1"/>
  <c r="Z29" s="1"/>
  <c r="Z31" s="1"/>
  <c r="G20" i="5" s="1"/>
  <c r="G25" s="1"/>
  <c r="G33" s="1"/>
</calcChain>
</file>

<file path=xl/sharedStrings.xml><?xml version="1.0" encoding="utf-8"?>
<sst xmlns="http://schemas.openxmlformats.org/spreadsheetml/2006/main" count="1447" uniqueCount="771">
  <si>
    <t>Net Generation</t>
  </si>
  <si>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</si>
  <si>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</si>
  <si>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</si>
  <si>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</si>
  <si>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</si>
  <si>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</si>
  <si>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</si>
  <si>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Projected</t>
  </si>
  <si>
    <t>MU</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</si>
  <si>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</si>
  <si>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</si>
  <si>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</si>
  <si>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</si>
  <si>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</si>
  <si>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</si>
  <si>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</si>
  <si>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</si>
  <si>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</si>
  <si>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</si>
  <si>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</si>
  <si>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</si>
  <si>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</si>
  <si>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</si>
  <si>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</si>
  <si>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OtherCredits to R&amp;M Charges</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</si>
  <si>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</si>
  <si>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</si>
  <si>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</si>
  <si>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</si>
  <si>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</si>
  <si>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</si>
  <si>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</si>
  <si>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</si>
  <si>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</si>
  <si>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</si>
  <si>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</si>
  <si>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</si>
  <si>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</si>
  <si>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</si>
  <si>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</si>
  <si>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</si>
  <si>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</si>
  <si>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</si>
  <si>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</si>
  <si>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</si>
  <si>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</si>
  <si>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</si>
  <si>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</si>
  <si>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</si>
  <si>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</si>
  <si>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</si>
  <si>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</si>
  <si>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</si>
  <si>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</si>
  <si>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</si>
  <si>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</si>
  <si>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</si>
  <si>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</si>
  <si>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</si>
  <si>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</si>
  <si>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</si>
  <si>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</si>
  <si>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</si>
  <si>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</si>
  <si>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</si>
  <si>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</si>
  <si>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</si>
  <si>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</si>
  <si>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</si>
  <si>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</si>
  <si>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</si>
  <si>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</si>
  <si>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</si>
  <si>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</si>
  <si>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</si>
  <si>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</si>
  <si>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</si>
  <si>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</si>
  <si>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</si>
  <si>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</si>
  <si>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</si>
  <si>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</si>
  <si>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</si>
  <si>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</si>
  <si>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</si>
  <si>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</si>
  <si>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</si>
  <si>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</si>
  <si>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</si>
  <si>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</si>
  <si>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</si>
  <si>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</si>
  <si>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</si>
  <si>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</si>
  <si>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</si>
  <si>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</si>
  <si>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</si>
  <si>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</si>
  <si>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</si>
  <si>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</si>
  <si>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</si>
  <si>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</si>
  <si>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</si>
  <si>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</si>
  <si>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</si>
  <si>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</si>
  <si>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</si>
  <si>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</si>
  <si>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</si>
  <si>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</si>
  <si>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</si>
  <si>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</si>
  <si>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MW</t>
  </si>
  <si>
    <t>Loan Tenure (yrs)</t>
  </si>
  <si>
    <t xml:space="preserve">INDEX OF FORMATS </t>
  </si>
  <si>
    <t>Transit Loss</t>
  </si>
  <si>
    <t>Station Heat Rate</t>
  </si>
  <si>
    <t>Installed Capacity</t>
  </si>
  <si>
    <t>Cost of Secondary Fuel Oil for 2 months</t>
  </si>
  <si>
    <t>Unit</t>
  </si>
  <si>
    <t>Instructions for the Applicant</t>
  </si>
  <si>
    <t>Aux Consumption (%)</t>
  </si>
  <si>
    <t>Gross Generation (MU)</t>
  </si>
  <si>
    <t>Net Generation (MU)</t>
  </si>
  <si>
    <t>Generation</t>
  </si>
  <si>
    <t>Interest on Loans</t>
  </si>
  <si>
    <t>Return on Equity</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</si>
  <si>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</si>
  <si>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</si>
  <si>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</si>
  <si>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</si>
  <si>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</si>
  <si>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</si>
  <si>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</si>
  <si>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</si>
  <si>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</si>
  <si>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</si>
  <si>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</si>
  <si>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</si>
  <si>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</si>
  <si>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</si>
  <si>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</si>
  <si>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</si>
  <si>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</si>
  <si>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</si>
  <si>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</si>
  <si>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</si>
  <si>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</si>
  <si>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</si>
  <si>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</si>
  <si>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</si>
  <si>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</si>
  <si>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</si>
  <si>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Plant Charateristics</t>
  </si>
  <si>
    <t>Normative Parameters Considered for Tariff Computations</t>
  </si>
  <si>
    <t>Form No:</t>
  </si>
  <si>
    <t>Name of Company:</t>
  </si>
  <si>
    <t>Name of Plant/  Station:</t>
  </si>
  <si>
    <t>Capacity Charges (Annual Fixed Charges)</t>
  </si>
  <si>
    <t>Variable Charges (Energy Charges)</t>
  </si>
  <si>
    <t>Cost of secondary fuel (only for coal based stations)</t>
  </si>
  <si>
    <t>C1 - If multifuel is used simultaneously, energy charges to be given in respect of every fuel individually</t>
  </si>
  <si>
    <t>C2 - Energy charge shall be computed for open cycle operation and combined cycle operation separatly in case of gas/ liquid fuel fired plants</t>
  </si>
  <si>
    <t>C3 - Energy charge shall be worked out based on ex-bus energy scheduled to be sent out</t>
  </si>
  <si>
    <t>2012-13</t>
  </si>
  <si>
    <t>2013-14</t>
  </si>
  <si>
    <t>2014-15</t>
  </si>
  <si>
    <r>
      <t xml:space="preserve">Energy Charges from Primary Fuel (Rs Cr) </t>
    </r>
    <r>
      <rPr>
        <vertAlign val="superscript"/>
        <sz val="10"/>
        <rFont val="Arial"/>
        <family val="2"/>
      </rPr>
      <t xml:space="preserve">C1, C2, C3, C4 </t>
    </r>
  </si>
  <si>
    <t>Energy Charges from Primary Fuel (Rs/ kWh)</t>
  </si>
  <si>
    <t>Unit(s)/ Block(s) Parameters</t>
  </si>
  <si>
    <t>Unit I</t>
  </si>
  <si>
    <t>Unit II</t>
  </si>
  <si>
    <t>Pressure</t>
  </si>
  <si>
    <t>Temperature</t>
  </si>
  <si>
    <t>- At Superheater Outlet</t>
  </si>
  <si>
    <t>- At Reheater Outlet</t>
  </si>
  <si>
    <r>
      <t>kg/cm</t>
    </r>
    <r>
      <rPr>
        <vertAlign val="superscript"/>
        <sz val="10"/>
        <rFont val="Arial"/>
        <family val="2"/>
      </rPr>
      <t>2</t>
    </r>
  </si>
  <si>
    <r>
      <rPr>
        <vertAlign val="superscript"/>
        <sz val="10"/>
        <rFont val="Arial"/>
        <family val="2"/>
      </rPr>
      <t>0</t>
    </r>
    <r>
      <rPr>
        <sz val="10"/>
        <rFont val="Arial"/>
        <family val="2"/>
      </rPr>
      <t>C</t>
    </r>
  </si>
  <si>
    <t>Guaranteed Design Heat Rate</t>
  </si>
  <si>
    <t xml:space="preserve"> kCal/ kWh</t>
  </si>
  <si>
    <t>Conditions on which guaranteed</t>
  </si>
  <si>
    <t>% MCR</t>
  </si>
  <si>
    <t>% Makeup</t>
  </si>
  <si>
    <t>Design Fuel</t>
  </si>
  <si>
    <t>Back Pressure</t>
  </si>
  <si>
    <t>Note: In case guaranteed unit heat rate is not available then furnish the guaranteed turbine cycle heat rate and guaranteed boiler efficiency separately along with condition of guarantee.</t>
  </si>
  <si>
    <t>Type of cooling Tower</t>
  </si>
  <si>
    <t>Installed Capacity (IC)</t>
  </si>
  <si>
    <t>Date of Commercial Operation (COD)</t>
  </si>
  <si>
    <t>Design cooling water temperature</t>
  </si>
  <si>
    <r>
      <t>Type of cooling system</t>
    </r>
    <r>
      <rPr>
        <vertAlign val="superscript"/>
        <sz val="10"/>
        <rFont val="Arial"/>
        <family val="2"/>
      </rPr>
      <t>1</t>
    </r>
  </si>
  <si>
    <r>
      <rPr>
        <vertAlign val="superscript"/>
        <sz val="10"/>
        <rFont val="Arial"/>
        <family val="2"/>
      </rPr>
      <t>1</t>
    </r>
    <r>
      <rPr>
        <sz val="10"/>
        <rFont val="Arial"/>
        <family val="2"/>
      </rPr>
      <t xml:space="preserve"> Closed circuit cooling, once through cooling, sea cooling, natural draft cooling, induced draft cooling etc.</t>
    </r>
  </si>
  <si>
    <r>
      <t>Type of Boiler Feed Pump</t>
    </r>
    <r>
      <rPr>
        <vertAlign val="superscript"/>
        <sz val="10"/>
        <rFont val="Arial"/>
        <family val="2"/>
      </rPr>
      <t>2</t>
    </r>
  </si>
  <si>
    <r>
      <rPr>
        <vertAlign val="superscript"/>
        <sz val="10"/>
        <rFont val="Arial"/>
        <family val="2"/>
      </rPr>
      <t xml:space="preserve">2 </t>
    </r>
    <r>
      <rPr>
        <sz val="10"/>
        <rFont val="Arial"/>
        <family val="2"/>
      </rPr>
      <t>Motor driven, Steam turbine driven etc.</t>
    </r>
  </si>
  <si>
    <t>- Primary Fuel</t>
  </si>
  <si>
    <t>- Secondary Fuel</t>
  </si>
  <si>
    <t>- Alternate Fuel</t>
  </si>
  <si>
    <r>
      <rPr>
        <vertAlign val="superscript"/>
        <sz val="10"/>
        <rFont val="Arial"/>
        <family val="2"/>
      </rPr>
      <t xml:space="preserve">3 </t>
    </r>
    <r>
      <rPr>
        <sz val="10"/>
        <rFont val="Arial"/>
        <family val="2"/>
      </rPr>
      <t>Coal or natural gas or naptha or lignite etc.</t>
    </r>
  </si>
  <si>
    <r>
      <t>Fuel Details</t>
    </r>
    <r>
      <rPr>
        <vertAlign val="superscript"/>
        <sz val="10"/>
        <rFont val="Arial"/>
        <family val="2"/>
      </rPr>
      <t>3</t>
    </r>
  </si>
  <si>
    <r>
      <t>Special Features/ Site Specific Features</t>
    </r>
    <r>
      <rPr>
        <vertAlign val="superscript"/>
        <sz val="10"/>
        <rFont val="Arial"/>
        <family val="2"/>
      </rPr>
      <t>4</t>
    </r>
  </si>
  <si>
    <r>
      <t>Special Technological Features</t>
    </r>
    <r>
      <rPr>
        <vertAlign val="superscript"/>
        <sz val="10"/>
        <rFont val="Arial"/>
        <family val="2"/>
      </rPr>
      <t>5</t>
    </r>
  </si>
  <si>
    <r>
      <rPr>
        <vertAlign val="superscript"/>
        <sz val="10"/>
        <rFont val="Arial"/>
        <family val="2"/>
      </rPr>
      <t xml:space="preserve">4 </t>
    </r>
    <r>
      <rPr>
        <sz val="10"/>
        <rFont val="Arial"/>
        <family val="2"/>
      </rPr>
      <t>Any site specific feature such as Merry-Go-Round, Vicinity to sea, Intake /makeup water systems etc. scrubbers etc. Specify all such features.</t>
    </r>
  </si>
  <si>
    <r>
      <rPr>
        <vertAlign val="superscript"/>
        <sz val="10"/>
        <rFont val="Arial"/>
        <family val="2"/>
      </rPr>
      <t xml:space="preserve">5 </t>
    </r>
    <r>
      <rPr>
        <sz val="10"/>
        <rFont val="Arial"/>
        <family val="2"/>
      </rPr>
      <t>Any Special Technological feature like Advanced class FA technology in Gas Turbines, etc</t>
    </r>
  </si>
  <si>
    <r>
      <t>Environmental Regulation related features</t>
    </r>
    <r>
      <rPr>
        <vertAlign val="superscript"/>
        <sz val="10"/>
        <rFont val="Arial"/>
        <family val="2"/>
      </rPr>
      <t>6</t>
    </r>
  </si>
  <si>
    <t>Any other special features</t>
  </si>
  <si>
    <t>Note 1: In case of deviation from specified conditions in Regulation, correction curve of manufacturer may also be submitted.</t>
  </si>
  <si>
    <t>Note 2: Heat Balance Diagrams has to be submitted along with above information incase of new stations.</t>
  </si>
  <si>
    <t>Petitioner</t>
  </si>
  <si>
    <t>Specific Fuel Oil Consumption ml/kWh</t>
  </si>
  <si>
    <t>Base Rate of Return on Equity</t>
  </si>
  <si>
    <t>Tax Rate</t>
  </si>
  <si>
    <t>Target Availability</t>
  </si>
  <si>
    <t>Auxiliary Energy Consumption</t>
  </si>
  <si>
    <t>Gross Station Heat Rate</t>
  </si>
  <si>
    <t>ml/ kWh</t>
  </si>
  <si>
    <t>Rs/ Ton</t>
  </si>
  <si>
    <t>Rs/ kL</t>
  </si>
  <si>
    <t>Cost of Gas</t>
  </si>
  <si>
    <t>Cost of Coal/ Lignite</t>
  </si>
  <si>
    <t>Cost of Main Secondary Fuel Oil</t>
  </si>
  <si>
    <t>Rs/ SCM</t>
  </si>
  <si>
    <t>Primary Fuel (Coal/ Lignite/ Gas) for Working Capital</t>
  </si>
  <si>
    <t>in Months</t>
  </si>
  <si>
    <t>Secondary Fuel for Working Capital</t>
  </si>
  <si>
    <t>O&amp;M Expenses</t>
  </si>
  <si>
    <t>Maintenance Spares for Working Capital</t>
  </si>
  <si>
    <t>% of O&amp;M</t>
  </si>
  <si>
    <t>Receivebles for Working Capital</t>
  </si>
  <si>
    <t>Plant Load Factor</t>
  </si>
  <si>
    <t>Gross Generation</t>
  </si>
  <si>
    <t>Auxiliary Consumption</t>
  </si>
  <si>
    <t>kCal/ kWh</t>
  </si>
  <si>
    <t>GCV of Coal/ Lignite</t>
  </si>
  <si>
    <t>kCal/ kg</t>
  </si>
  <si>
    <t>MT</t>
  </si>
  <si>
    <t>kg/ kWh</t>
  </si>
  <si>
    <t>Specific Coal Consumption (Fired)</t>
  </si>
  <si>
    <t>Quantity of Coal/ Lignite (Fired)</t>
  </si>
  <si>
    <t>GCV of Gas/ LNG/ Liquid Fuel</t>
  </si>
  <si>
    <t>Quantity of Gas/ LNG/ Liquid Fuel</t>
  </si>
  <si>
    <t>MMSCM</t>
  </si>
  <si>
    <t>kCal/ SCM</t>
  </si>
  <si>
    <t>Rate of Coal/ Lignite</t>
  </si>
  <si>
    <t>Primary Fuel Consumption (Coal/ Lignite)</t>
  </si>
  <si>
    <t>Primary Fuel Consumption (Gas/ LNG/ Liquid)</t>
  </si>
  <si>
    <t>Rate of Gas/ LNG/ Liquid Fuel</t>
  </si>
  <si>
    <t>Cost of Gas/ LNG/ Liquid Fuel</t>
  </si>
  <si>
    <t>Generation Details and Variable Cost</t>
  </si>
  <si>
    <t>Specific Fuel Consumption</t>
  </si>
  <si>
    <t>SCM/ kWh</t>
  </si>
  <si>
    <t>kCal/ kL</t>
  </si>
  <si>
    <t>kL</t>
  </si>
  <si>
    <t>Secondary Fuel Oil Consumption</t>
  </si>
  <si>
    <t>GCV of Secondary Fuel Oil</t>
  </si>
  <si>
    <t>Quantity of Secondary Fuel Oil</t>
  </si>
  <si>
    <t>Specific Secondary Fuel Oil Consumption</t>
  </si>
  <si>
    <t xml:space="preserve">Rate of Secondary Fuel Oil </t>
  </si>
  <si>
    <t xml:space="preserve">Cost of Secondary Fuel Oil </t>
  </si>
  <si>
    <t>Rs/ kWh</t>
  </si>
  <si>
    <t>Primary Fuel Cost (Coal/ Lignite)</t>
  </si>
  <si>
    <t>Primary Fuel Cost (Gas/ LNG/ Liquid)</t>
  </si>
  <si>
    <t xml:space="preserve">Secondary Fuel Cost </t>
  </si>
  <si>
    <t>Energy Charges from Primary Fuel (Coal/ Lignite)</t>
  </si>
  <si>
    <t>Energy Charges from Primary Fuel (Gas/ LNG/ Liquid)</t>
  </si>
  <si>
    <t>Gross Quantity of Coal (Purchased)</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</si>
  <si>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</si>
  <si>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</si>
  <si>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</si>
  <si>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</si>
  <si>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</si>
  <si>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</si>
  <si>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</si>
  <si>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</si>
  <si>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</si>
  <si>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</si>
  <si>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</si>
  <si>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r>
      <t>Depreciation rate</t>
    </r>
    <r>
      <rPr>
        <b/>
        <vertAlign val="superscript"/>
        <sz val="10"/>
        <rFont val="Arial"/>
        <family val="2"/>
      </rPr>
      <t>1</t>
    </r>
  </si>
  <si>
    <t>Fixed Assets and Depreciation</t>
  </si>
  <si>
    <t>Interest Due</t>
  </si>
  <si>
    <t>Maintenance Spares @ 20% of O&amp;M</t>
  </si>
  <si>
    <t>For Coal Based Generating Stations</t>
  </si>
  <si>
    <t>Receivables equivalent to 2 months of capacity and energy charge</t>
  </si>
  <si>
    <t xml:space="preserve">Fuel expenses for 1 month </t>
  </si>
  <si>
    <t xml:space="preserve">Liquid fuel stock for ½ month </t>
  </si>
  <si>
    <t>Maintenance spares @ 30% of O&amp;M</t>
  </si>
  <si>
    <t>For Open-cycle Gas Turbine/ Combined Cycle thermal generating stations</t>
  </si>
  <si>
    <t>Information in respect of fuel for computation of Energy Charges</t>
  </si>
  <si>
    <t>F</t>
  </si>
  <si>
    <t>Quantity of Coal/ Lignite supplied by Coal/ Lignite Company</t>
  </si>
  <si>
    <t>Coal supplied by Coal/ Lignite Company (1+2)</t>
  </si>
  <si>
    <t>Adjustment (+/-) in quantity supplied made by Coal/ Lignite Company</t>
  </si>
  <si>
    <t>Normative Transit &amp; Handling Losses (For Coal/ Lignite Projects)</t>
  </si>
  <si>
    <t>Net coal / Lignite Supplied (3-4)</t>
  </si>
  <si>
    <t>Amount charged by the Coal /Lignite Company</t>
  </si>
  <si>
    <t>Adjustment (+/-) in amount charged made by Coal/Lignite Company</t>
  </si>
  <si>
    <t>Total amount Charged (6+7)</t>
  </si>
  <si>
    <t>Transportation charges by rail/ship/road transport</t>
  </si>
  <si>
    <t>Adjustment (+/-) in amount charged made by Railways/Transport Company</t>
  </si>
  <si>
    <t>Demurrage Charges, if any</t>
  </si>
  <si>
    <t>Cost of diesel in transporting coal through MGR system, if applicable</t>
  </si>
  <si>
    <t>Total Transportation Charges (9+/-10-11+12)</t>
  </si>
  <si>
    <t>Total amount Charged for coal/lignite supplied including Transportation (8+13)</t>
  </si>
  <si>
    <t>Weighted average GCV of coal/ Lignite as fired</t>
  </si>
  <si>
    <t xml:space="preserve">Similar details to be furnished for natural gas/liquid fuel for CCGT station and secondary fuel oil for coal/lignite based thermal plants </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</si>
  <si>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</si>
  <si>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</si>
  <si>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</si>
  <si>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</si>
  <si>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</si>
  <si>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</si>
  <si>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</si>
  <si>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</si>
  <si>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</si>
  <si>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</si>
  <si>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</si>
  <si>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</si>
  <si>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</si>
  <si>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</si>
  <si>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</si>
  <si>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</si>
  <si>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</si>
  <si>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</si>
  <si>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</si>
  <si>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</si>
  <si>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</si>
  <si>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</si>
  <si>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</si>
  <si>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</si>
  <si>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</si>
  <si>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</si>
  <si>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</si>
  <si>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</si>
  <si>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</si>
  <si>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</si>
  <si>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</si>
  <si>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</si>
  <si>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family val="2"/>
      </rPr>
      <t xml:space="preserve"> Furnish details of hedging, in case of more than one hedging during the year or part hedging, details of each hedging to be provided.</t>
    </r>
  </si>
  <si>
    <r>
      <rPr>
        <vertAlign val="superscript"/>
        <sz val="10"/>
        <rFont val="Arial"/>
        <family val="2"/>
      </rPr>
      <t>2</t>
    </r>
    <r>
      <rPr>
        <sz val="10"/>
        <rFont val="Arial"/>
        <family val="2"/>
      </rPr>
      <t xml:space="preserve"> In case of more than one drawl during the year, Exchange rate at the date of each drawl to be provided.</t>
    </r>
  </si>
  <si>
    <r>
      <rPr>
        <vertAlign val="superscript"/>
        <sz val="10"/>
        <rFont val="Arial"/>
        <family val="2"/>
      </rPr>
      <t>1</t>
    </r>
    <r>
      <rPr>
        <sz val="10"/>
        <rFont val="Arial"/>
        <family val="2"/>
      </rPr>
      <t xml:space="preserve"> Name of the currency to be mentioned e.g. US $, DM, etc.</t>
    </r>
  </si>
  <si>
    <t>Date of Infusion</t>
  </si>
  <si>
    <r>
      <rPr>
        <vertAlign val="superscript"/>
        <sz val="10"/>
        <rFont val="Arial"/>
        <family val="2"/>
      </rPr>
      <t>2</t>
    </r>
    <r>
      <rPr>
        <sz val="10"/>
        <rFont val="Arial"/>
        <family val="2"/>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</si>
  <si>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</si>
  <si>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</si>
  <si>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</si>
  <si>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</si>
  <si>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</si>
  <si>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Capital Cost excluding IDC &amp; FC</t>
  </si>
  <si>
    <t>Foreign Component, if any (In Million US $ or the relevant Currency)</t>
  </si>
  <si>
    <t>IDC &amp; FC</t>
  </si>
  <si>
    <t>Rate of taxes &amp; duties considered</t>
  </si>
  <si>
    <t xml:space="preserve">Capital cost Including IDC &amp; FC  </t>
  </si>
  <si>
    <t>Schedule of Commissioning</t>
  </si>
  <si>
    <t>-------------------------</t>
  </si>
  <si>
    <t>---------------------------</t>
  </si>
  <si>
    <t xml:space="preserve">Note:   </t>
  </si>
  <si>
    <t>1. Copy of approval letter should be enclosed.</t>
  </si>
  <si>
    <t>Foreign Exchange rate considered for the Capital cost estimates</t>
  </si>
  <si>
    <t>As on Scheduled COD
 of the Station</t>
  </si>
  <si>
    <t>As of End of ________
Qtr. Of the year _________</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</si>
  <si>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</si>
  <si>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</si>
  <si>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</si>
  <si>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</si>
  <si>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</si>
  <si>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</si>
  <si>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</si>
  <si>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</si>
  <si>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</si>
  <si>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</si>
  <si>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</si>
  <si>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</si>
  <si>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</si>
  <si>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</si>
  <si>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</si>
  <si>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</si>
  <si>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</si>
  <si>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</si>
  <si>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</si>
  <si>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</si>
  <si>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</si>
  <si>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</si>
  <si>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</si>
  <si>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</si>
  <si>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</si>
  <si>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</si>
  <si>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</si>
  <si>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</si>
  <si>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</si>
  <si>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</si>
  <si>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</si>
  <si>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</si>
  <si>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</si>
  <si>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</si>
  <si>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</si>
  <si>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</si>
  <si>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</si>
  <si>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family val="2"/>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</si>
  <si>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</si>
  <si>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</si>
  <si>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 xml:space="preserve">Cost of Land &amp; Site Development  </t>
  </si>
  <si>
    <t xml:space="preserve">Land </t>
  </si>
  <si>
    <t>Rehabitation  &amp; Resettlement  (R&amp;R)</t>
  </si>
  <si>
    <t>Preliminary Investigation &amp; Site development</t>
  </si>
  <si>
    <t xml:space="preserve">Total  Land &amp; Site Development </t>
  </si>
  <si>
    <t>Plant &amp; Equipment</t>
  </si>
  <si>
    <t>Steam Generator Island</t>
  </si>
  <si>
    <t>Turbine Generator Island</t>
  </si>
  <si>
    <t>BOP Mechanical</t>
  </si>
  <si>
    <t>2.3.1</t>
  </si>
  <si>
    <t>External water supply system</t>
  </si>
  <si>
    <t>2.3.2</t>
  </si>
  <si>
    <t>CW system</t>
  </si>
  <si>
    <t>2.3.3</t>
  </si>
  <si>
    <t xml:space="preserve">DM water Plant </t>
  </si>
  <si>
    <t>2.3.4</t>
  </si>
  <si>
    <t>Clarification plant</t>
  </si>
  <si>
    <t>2.3.5</t>
  </si>
  <si>
    <t>Chlorination Plant</t>
  </si>
  <si>
    <t>2.3.6</t>
  </si>
  <si>
    <t>2.3.7</t>
  </si>
  <si>
    <t xml:space="preserve">Ash Handling System </t>
  </si>
  <si>
    <t>2.3.8</t>
  </si>
  <si>
    <t>Coal Handling Plant</t>
  </si>
  <si>
    <t>2.3.9</t>
  </si>
  <si>
    <t>Rolling Stock and Locomotives</t>
  </si>
  <si>
    <t>2.3.10</t>
  </si>
  <si>
    <t xml:space="preserve">MGR </t>
  </si>
  <si>
    <t>2.3.11</t>
  </si>
  <si>
    <t>Air Compressor System</t>
  </si>
  <si>
    <t>2.3.12</t>
  </si>
  <si>
    <t>Air Condition &amp; Ventilation System</t>
  </si>
  <si>
    <t>2.3.13</t>
  </si>
  <si>
    <t>Fire fighting System</t>
  </si>
  <si>
    <t>2.3.14</t>
  </si>
  <si>
    <t>HP/LP Piping</t>
  </si>
  <si>
    <t>Total BOP Mechanical</t>
  </si>
  <si>
    <t>BOP Electrical</t>
  </si>
  <si>
    <t>2.4.1</t>
  </si>
  <si>
    <t>2.4.2</t>
  </si>
  <si>
    <t>2.4.3</t>
  </si>
  <si>
    <t>2.4.4</t>
  </si>
  <si>
    <t>2.4.5</t>
  </si>
  <si>
    <t>Lighting</t>
  </si>
  <si>
    <t>2.4.6</t>
  </si>
  <si>
    <t>Total BOP Electrical</t>
  </si>
  <si>
    <t>Taxes and Duties</t>
  </si>
  <si>
    <t>2.6.1</t>
  </si>
  <si>
    <t>Custom Duty</t>
  </si>
  <si>
    <t>2.6.2</t>
  </si>
  <si>
    <t>Other Taxes &amp; Duties</t>
  </si>
  <si>
    <t>Total Taxes &amp; Duties</t>
  </si>
  <si>
    <t xml:space="preserve">Total Plant &amp; Equipment  </t>
  </si>
  <si>
    <t>Initial spares</t>
  </si>
  <si>
    <t>Main plant/Adm. Building</t>
  </si>
  <si>
    <t>Cooling Towers</t>
  </si>
  <si>
    <t>chlorination plant</t>
  </si>
  <si>
    <t>MGR &amp; Marshalling Yard</t>
  </si>
  <si>
    <t>Ash disposal area development</t>
  </si>
  <si>
    <t>Township &amp; Colony</t>
  </si>
  <si>
    <t>Temp. construction &amp; enabling works</t>
  </si>
  <si>
    <t xml:space="preserve"> Road &amp; Drainage</t>
  </si>
  <si>
    <t xml:space="preserve">Total Civil works </t>
  </si>
  <si>
    <t>Erection Testing and commissioning</t>
  </si>
  <si>
    <t>Site supervision</t>
  </si>
  <si>
    <t>Operator's Training</t>
  </si>
  <si>
    <t>Construction Insurance</t>
  </si>
  <si>
    <t>Tools &amp; Plant</t>
  </si>
  <si>
    <t>Start up fuel</t>
  </si>
  <si>
    <t>Overheads</t>
  </si>
  <si>
    <t>Establishment</t>
  </si>
  <si>
    <t>Design &amp; Engineering</t>
  </si>
  <si>
    <t>Audit &amp; Accounts</t>
  </si>
  <si>
    <t>Contingency</t>
  </si>
  <si>
    <t>Total Overheads</t>
  </si>
  <si>
    <t>Capital cost excluding IDC &amp; FC</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</si>
  <si>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</si>
  <si>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</si>
  <si>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</si>
  <si>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</si>
  <si>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Steam Turbine generator Island</t>
  </si>
  <si>
    <t>WHRB Island</t>
  </si>
  <si>
    <t>Fuel Handling &amp; Storage system</t>
  </si>
  <si>
    <t>2.4.7</t>
  </si>
  <si>
    <t>2.4.8</t>
  </si>
  <si>
    <t>Air condition &amp; Ventilation System</t>
  </si>
  <si>
    <t>2.4.9</t>
  </si>
  <si>
    <t>Fire Fighting system</t>
  </si>
  <si>
    <t>2.4.10</t>
  </si>
  <si>
    <t>2.5.1</t>
  </si>
  <si>
    <t>2.5.2</t>
  </si>
  <si>
    <t>2.5.3</t>
  </si>
  <si>
    <t>2.5.4</t>
  </si>
  <si>
    <t>2.5.5</t>
  </si>
  <si>
    <t>2.5.6</t>
  </si>
  <si>
    <t>C &amp; I  Package</t>
  </si>
  <si>
    <t>2.7.1</t>
  </si>
  <si>
    <t>2.7.2</t>
  </si>
  <si>
    <t>Road &amp; Drainage</t>
  </si>
  <si>
    <t>----</t>
  </si>
  <si>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</si>
  <si>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</si>
  <si>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</si>
  <si>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</si>
  <si>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</si>
  <si>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</si>
  <si>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</si>
  <si>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 xml:space="preserve"> Taxes &amp; Duties and IEDC</t>
  </si>
  <si>
    <t>Sub -total (9+10+11)</t>
  </si>
  <si>
    <t>No</t>
  </si>
  <si>
    <t>Break-up of Capital Cost for Coal/ Lignite based projects</t>
  </si>
  <si>
    <t>Break-up of Capital Cost for Gas/ Liquid fuel based Projects</t>
  </si>
  <si>
    <t>Break-up of Construction/ Supply/ Service packages</t>
  </si>
  <si>
    <t>Actual capital expenditure as on COD</t>
  </si>
  <si>
    <t>As per original estimates</t>
  </si>
  <si>
    <t>Total Plant &amp; Equipment excl taxes &amp; duties</t>
  </si>
  <si>
    <t>Total  Construction &amp; Pre- Commissioning Expenses</t>
  </si>
  <si>
    <t xml:space="preserve">Liabilities/ provisions </t>
  </si>
  <si>
    <t>Fuel  Handling &amp; Storage system</t>
  </si>
  <si>
    <t>Construction &amp; Pre- Commissioning Expenses</t>
  </si>
  <si>
    <t>Switch Yard Package</t>
  </si>
  <si>
    <t>Transformers Package</t>
  </si>
  <si>
    <t>Switchgear Package</t>
  </si>
  <si>
    <t>Cables, Cable facilities &amp; grounding</t>
  </si>
  <si>
    <t>Emergency D.G. set</t>
  </si>
  <si>
    <t>IDC, FC, FERV &amp; Hedging Cost</t>
  </si>
  <si>
    <t>Foreign Exchange Rate Variation (FERV)</t>
  </si>
  <si>
    <t>Hedging Cost</t>
  </si>
  <si>
    <t>Total of IDC, FC, FERV &amp; Hedging Cost</t>
  </si>
  <si>
    <t>Capital cost including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</si>
  <si>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</si>
  <si>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</si>
  <si>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</si>
  <si>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</si>
  <si>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</si>
  <si>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</si>
  <si>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</si>
  <si>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</si>
  <si>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</si>
  <si>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</si>
  <si>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</si>
  <si>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</si>
  <si>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</si>
  <si>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</si>
  <si>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</si>
  <si>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r>
      <t>Date of Commercial Operation of the Station</t>
    </r>
    <r>
      <rPr>
        <b/>
        <vertAlign val="superscript"/>
        <sz val="10"/>
        <rFont val="Arial"/>
        <family val="2"/>
      </rPr>
      <t>2</t>
    </r>
  </si>
  <si>
    <r>
      <t>2</t>
    </r>
    <r>
      <rPr>
        <sz val="10"/>
        <rFont val="Arial"/>
        <family val="2"/>
      </rPr>
      <t xml:space="preserve"> Date of Commercial Operation means Commercial Operation of the last unit</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</si>
  <si>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</si>
  <si>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</si>
  <si>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</si>
  <si>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</si>
  <si>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</si>
  <si>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</si>
  <si>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</si>
  <si>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</si>
  <si>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</si>
  <si>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</si>
  <si>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</si>
  <si>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</si>
  <si>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</si>
  <si>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</si>
  <si>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</si>
  <si>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</si>
  <si>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</si>
  <si>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</si>
  <si>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</si>
  <si>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</si>
  <si>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</si>
  <si>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</si>
  <si>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</si>
  <si>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</si>
  <si>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</si>
  <si>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</si>
  <si>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</si>
  <si>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</si>
  <si>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</si>
  <si>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</si>
  <si>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</si>
  <si>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</si>
  <si>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</si>
  <si>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</si>
  <si>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</si>
  <si>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</si>
  <si>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</si>
  <si>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</si>
  <si>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</si>
  <si>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</si>
  <si>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</si>
  <si>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</si>
  <si>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</si>
  <si>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</si>
  <si>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</si>
  <si>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</si>
  <si>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</si>
  <si>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</si>
  <si>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</si>
  <si>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Details of Allocation of corporate loans to various projects</t>
  </si>
  <si>
    <t>Distribution of loan packages to various projects</t>
  </si>
  <si>
    <t>Name of the Projects</t>
  </si>
  <si>
    <t>Project 1</t>
  </si>
  <si>
    <t>Project 2</t>
  </si>
  <si>
    <t>Project 3 and so on</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</si>
  <si>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</si>
  <si>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</si>
  <si>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</si>
  <si>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</si>
  <si>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2 In case initial spares are purchased alongwith any equipment, then the cost of such spares should be indicated separately. e.g. Rotor - 50 Crs. Initial spares- 5 Crs.</t>
  </si>
  <si>
    <t>3 Actual/Projected additional capital expenditure claimed for 2008-09 shall be governed by Tariff Regulation for period 2004-09.</t>
  </si>
  <si>
    <t xml:space="preserve">Head of Work/ Equipment  </t>
  </si>
  <si>
    <t>Actual/ Projected additional capital expenditure claimed</t>
  </si>
  <si>
    <t>Regulations under which claimed 6.3 (i), (ii), (iii), iv) or (v) or 6.4 (i), (ii), (iii), iv), (v), (vi) or (vii)</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</si>
  <si>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</si>
  <si>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</si>
  <si>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</si>
  <si>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</si>
  <si>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</si>
  <si>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</si>
  <si>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</si>
  <si>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</si>
  <si>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</si>
  <si>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</si>
  <si>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</si>
  <si>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</si>
  <si>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</si>
  <si>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</si>
  <si>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</si>
  <si>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</si>
  <si>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</si>
  <si>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</si>
  <si>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</si>
  <si>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</si>
  <si>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</si>
  <si>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</si>
  <si>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</si>
  <si>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</si>
  <si>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</si>
  <si>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</si>
  <si>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</si>
  <si>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</si>
  <si>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</si>
  <si>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</si>
  <si>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</si>
  <si>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</si>
  <si>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</si>
  <si>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</si>
  <si>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</si>
  <si>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</si>
  <si>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</si>
  <si>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</si>
  <si>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</si>
  <si>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</si>
  <si>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</si>
  <si>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</si>
  <si>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</si>
  <si>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</si>
  <si>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</si>
  <si>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</si>
  <si>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2. Details of Capital cost are to be furnished as per Form 9 or Form 10  as applicable.</t>
  </si>
  <si>
    <t>3. Details of IDC &amp; Financing Charges are to be furnished as per Form 12</t>
  </si>
  <si>
    <t>1 The scope of work in any package should be indicated in conformity of Capital cost break-up for the coal/lignite based plants in the Form 9 to the extent possible.  In case of Gas/Liquid fuel based projects, break down in the similar manner in the relevent heads as per Form 10.</t>
  </si>
  <si>
    <r>
      <t xml:space="preserve">2 </t>
    </r>
    <r>
      <rPr>
        <sz val="10"/>
        <rFont val="Arial"/>
        <family val="2"/>
      </rPr>
      <t>Loan details for meeting the additional capitalisation requirement should be given as per Form 14 and Form 15 whichever is relevent.</t>
    </r>
  </si>
  <si>
    <r>
      <t>Value of Award</t>
    </r>
    <r>
      <rPr>
        <vertAlign val="superscript"/>
        <sz val="10"/>
        <rFont val="Arial"/>
        <family val="2"/>
      </rPr>
      <t>2</t>
    </r>
    <r>
      <rPr>
        <sz val="10"/>
        <rFont val="Arial"/>
        <family val="2"/>
      </rPr>
      <t xml:space="preserve"> in (Rs. Lakh)</t>
    </r>
  </si>
  <si>
    <t>2 If there is  any package, which need to be shown in Indian Rupee and foreign currency(ies), the same should be shown separatly alongwith the currency, the exchange rate and the date e.g. Rs. 8000 Lakh + US$50 mn = Rs.32000 Lakh at US$ = Rs 48 as on say 1 April 2011</t>
  </si>
  <si>
    <t>Interest &amp; Finance charges Capitalised</t>
  </si>
  <si>
    <t>Employee expenses</t>
  </si>
  <si>
    <t>A&amp;G Expenses</t>
  </si>
  <si>
    <t>Others, if any</t>
  </si>
  <si>
    <t>Grand Total</t>
  </si>
  <si>
    <t>Income Tax Provisions</t>
  </si>
  <si>
    <t>Income Tax on the Retun on Equity</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</si>
  <si>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</si>
  <si>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</si>
  <si>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</si>
  <si>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</si>
  <si>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F28</t>
  </si>
  <si>
    <t>F29</t>
  </si>
  <si>
    <t>Expenses Capitalised</t>
  </si>
  <si>
    <t>Income Tax</t>
  </si>
  <si>
    <t>Rs Crores</t>
  </si>
  <si>
    <t>Domestic Component (Rs. Crores)</t>
  </si>
  <si>
    <t>Capital cost excluding IDC &amp; FC (Rs. Crores)</t>
  </si>
  <si>
    <t>Total IDC &amp; FC (Rs. Crores)</t>
  </si>
  <si>
    <t>Capital cost Including IDC &amp; FC (Rs. Crores)</t>
  </si>
  <si>
    <t>Rs. Crores</t>
  </si>
  <si>
    <t>INDRAPRASTHA POWER GENERATION COMPANY LIMITED</t>
  </si>
  <si>
    <t>Rajghat Power House</t>
  </si>
  <si>
    <t>Interest on Security Deposit/loans</t>
  </si>
  <si>
    <t>Cost of Coal for 2 months</t>
  </si>
  <si>
    <t>S No</t>
  </si>
  <si>
    <t>a)</t>
  </si>
  <si>
    <t>b)</t>
  </si>
  <si>
    <t>Plant and machinery in generating stations including plant foundations</t>
  </si>
  <si>
    <t>Capital spares</t>
  </si>
  <si>
    <t>i)</t>
  </si>
  <si>
    <t>Railway Siding</t>
  </si>
  <si>
    <t>ii)</t>
  </si>
  <si>
    <t>iii)</t>
  </si>
  <si>
    <t>Diesel electric &amp; gas plant</t>
  </si>
  <si>
    <t>Cooling towers and circulating water systems</t>
  </si>
  <si>
    <t>d)</t>
  </si>
  <si>
    <t>Building &amp; civil engineering works of a permanent character, not mentioned above:</t>
  </si>
  <si>
    <t>Offices &amp; showrooms</t>
  </si>
  <si>
    <t>Containing thermo-electric generating plant</t>
  </si>
  <si>
    <t>vi)</t>
  </si>
  <si>
    <t>e)</t>
  </si>
  <si>
    <t>Transformers, transformer (kiosk) sub-station equipment &amp; other fixed apparatus (including plant foundations)</t>
  </si>
  <si>
    <t>Station type</t>
  </si>
  <si>
    <t>h)</t>
  </si>
  <si>
    <t>Batteries</t>
  </si>
  <si>
    <t>Static</t>
  </si>
  <si>
    <t>q)</t>
  </si>
  <si>
    <t>Communication equipment</t>
  </si>
  <si>
    <t>HQ Share</t>
  </si>
  <si>
    <r>
      <rPr>
        <vertAlign val="superscript"/>
        <sz val="10"/>
        <rFont val="Arial"/>
        <family val="2"/>
      </rPr>
      <t>1</t>
    </r>
    <r>
      <rPr>
        <sz val="10"/>
        <rFont val="Arial"/>
        <family val="2"/>
      </rPr>
      <t xml:space="preserve"> Depreciation Rates as per DERC's Depreciation Rate Schedule</t>
    </r>
  </si>
  <si>
    <t>ERP Software</t>
  </si>
  <si>
    <t>Computers (ERP)</t>
  </si>
  <si>
    <t>0</t>
  </si>
  <si>
    <t>ERP Expenses</t>
  </si>
  <si>
    <t>0% Make Up</t>
  </si>
  <si>
    <t>Coal</t>
  </si>
  <si>
    <t>Induced Draft Cooling</t>
  </si>
  <si>
    <t>20.02.1990</t>
  </si>
  <si>
    <t>06.05.1989</t>
  </si>
  <si>
    <t>Closed Circuit</t>
  </si>
  <si>
    <t>Motor Driven</t>
  </si>
  <si>
    <t>Civil Works- HQ share</t>
  </si>
  <si>
    <t>Special Repair of Residential colony</t>
  </si>
  <si>
    <t>KL</t>
  </si>
  <si>
    <t>Special Repair (PM)</t>
  </si>
  <si>
    <t>HSD</t>
  </si>
  <si>
    <t>kCal/ L</t>
  </si>
  <si>
    <t>Quantity of HSD supplied by oil Company</t>
  </si>
  <si>
    <t>Adjustment (+/-) in quantity supplied made by oil Company</t>
  </si>
  <si>
    <t>Net oil Supplied (3-4)</t>
  </si>
  <si>
    <t>HSDl supplied by oil Company (1+2)</t>
  </si>
  <si>
    <t>Amount charged by the oil Company</t>
  </si>
  <si>
    <t>Adjustment (+/-) in amount charged made by oil Company</t>
  </si>
  <si>
    <t>Total amount Charged for HSD supplied including Transportation (8+13)</t>
  </si>
  <si>
    <t>Weighted average GCV of HSD as fired</t>
  </si>
  <si>
    <t>Cost of diesel in transporting HSD through MGR system, if applicable</t>
  </si>
  <si>
    <t>Rs Lakh/ MW</t>
  </si>
  <si>
    <t xml:space="preserve">Cost of Secondary Fuel Oil- corresponding to Normative value </t>
  </si>
  <si>
    <t>Rs. Crore</t>
  </si>
  <si>
    <t>Performance Test- FY 2010-11</t>
  </si>
  <si>
    <t>Not Applicable</t>
  </si>
  <si>
    <t>Addition Gross Block Amount as per books</t>
  </si>
  <si>
    <t>Closing Gross Block Amount as per books</t>
  </si>
  <si>
    <t>Unit III</t>
  </si>
  <si>
    <t>2015-16</t>
  </si>
  <si>
    <t xml:space="preserve">Form No: </t>
  </si>
  <si>
    <t>Base Rate of SBI as on 01.04.2012</t>
  </si>
  <si>
    <t>31.03.2012</t>
  </si>
  <si>
    <t>31.03.2013</t>
  </si>
  <si>
    <t>31.03.2014</t>
  </si>
  <si>
    <t>31.03.2015</t>
  </si>
  <si>
    <t>31.03.2016</t>
  </si>
  <si>
    <t>July-14</t>
  </si>
  <si>
    <t>Aug-14</t>
  </si>
  <si>
    <t>Sep-14</t>
  </si>
  <si>
    <t>EDP, WP machines</t>
  </si>
  <si>
    <t>Hospital equipment</t>
  </si>
  <si>
    <t>Other Office Equipme</t>
  </si>
  <si>
    <t>P/M-Capital Spares</t>
  </si>
  <si>
    <t>Safety &amp; Secu Equip</t>
  </si>
  <si>
    <t>Head quarter Share</t>
  </si>
  <si>
    <t>Furniture and fixture</t>
  </si>
  <si>
    <t>Communication  equipment</t>
  </si>
  <si>
    <t>Form No. F5</t>
  </si>
  <si>
    <t>Rs in Crore</t>
  </si>
  <si>
    <t>(Rs. In Crore)</t>
  </si>
  <si>
    <t>(Rs in  Crores)</t>
  </si>
</sst>
</file>

<file path=xl/styles.xml><?xml version="1.0" encoding="utf-8"?>
<styleSheet xmlns="http://schemas.openxmlformats.org/spreadsheetml/2006/main">
  <numFmts count="8">
    <numFmt numFmtId="43" formatCode="_(* #,##0.00_);_(* \(#,##0.00\);_(* &quot;-&quot;??_);_(@_)"/>
    <numFmt numFmtId="164" formatCode="_-* #,##0.00_-;\-* #,##0.00_-;_-* &quot;-&quot;??_-;_-@_-"/>
    <numFmt numFmtId="165" formatCode="0.000"/>
    <numFmt numFmtId="166" formatCode="0.0"/>
    <numFmt numFmtId="167" formatCode="0.00_)"/>
    <numFmt numFmtId="168" formatCode="&quot;ß&quot;#,##0.00_);\(&quot;ß&quot;#,##0.00\)"/>
    <numFmt numFmtId="169" formatCode="0.0000"/>
    <numFmt numFmtId="170" formatCode="0.00_);\(0.00\)"/>
  </numFmts>
  <fonts count="28">
    <font>
      <sz val="10"/>
      <name val="Arial"/>
    </font>
    <font>
      <sz val="10"/>
      <name val="Arial"/>
      <family val="2"/>
    </font>
    <font>
      <b/>
      <sz val="10"/>
      <name val="Arial"/>
      <family val="2"/>
    </font>
    <font>
      <b/>
      <sz val="12"/>
      <name val="Arial"/>
      <family val="2"/>
    </font>
    <font>
      <sz val="12"/>
      <name val="Tms Rmn"/>
    </font>
    <font>
      <sz val="10"/>
      <name val="Helv"/>
    </font>
    <font>
      <sz val="8"/>
      <name val="Arial"/>
      <family val="2"/>
    </font>
    <font>
      <sz val="7"/>
      <name val="Small Fonts"/>
      <family val="2"/>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sz val="12"/>
      <name val="Tahoma"/>
      <family val="2"/>
    </font>
    <font>
      <b/>
      <sz val="12"/>
      <name val="Tahoma"/>
      <family val="2"/>
    </font>
    <font>
      <b/>
      <u/>
      <sz val="10"/>
      <name val="Arial"/>
      <family val="2"/>
    </font>
    <font>
      <b/>
      <vertAlign val="superscript"/>
      <sz val="12"/>
      <name val="Tahoma"/>
      <family val="2"/>
    </font>
    <font>
      <sz val="10"/>
      <color indexed="10"/>
      <name val="Arial"/>
      <family val="2"/>
    </font>
    <font>
      <b/>
      <i/>
      <sz val="10"/>
      <name val="Arial"/>
      <family val="2"/>
    </font>
    <font>
      <b/>
      <sz val="20"/>
      <name val="Arial"/>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53"/>
        <bgColor indexed="64"/>
      </patternFill>
    </fill>
    <fill>
      <patternFill patternType="solid">
        <fgColor indexed="49"/>
        <bgColor indexed="64"/>
      </patternFill>
    </fill>
    <fill>
      <patternFill patternType="solid">
        <fgColor indexed="42"/>
        <bgColor indexed="64"/>
      </patternFill>
    </fill>
    <fill>
      <patternFill patternType="solid">
        <fgColor indexed="12"/>
        <bgColor indexed="64"/>
      </patternFill>
    </fill>
    <fill>
      <patternFill patternType="solid">
        <fgColor theme="9" tint="-0.249977111117893"/>
        <bgColor indexed="64"/>
      </patternFill>
    </fill>
    <fill>
      <patternFill patternType="solid">
        <fgColor theme="0"/>
        <bgColor indexed="64"/>
      </patternFill>
    </fill>
    <fill>
      <patternFill patternType="solid">
        <fgColor theme="8"/>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3">
    <xf numFmtId="0" fontId="0" fillId="0" borderId="0"/>
    <xf numFmtId="0" fontId="4" fillId="0" borderId="0" applyNumberFormat="0" applyFill="0" applyBorder="0" applyAlignment="0" applyProtection="0"/>
    <xf numFmtId="164" fontId="1" fillId="0" borderId="0" applyFont="0" applyFill="0" applyBorder="0" applyAlignment="0" applyProtection="0"/>
    <xf numFmtId="0" fontId="5" fillId="0" borderId="1"/>
    <xf numFmtId="164"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7" fontId="8" fillId="0" borderId="0"/>
    <xf numFmtId="0" fontId="10" fillId="0" borderId="0"/>
    <xf numFmtId="0" fontId="1" fillId="0" borderId="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168" fontId="1" fillId="0" borderId="0" applyFont="0" applyFill="0" applyBorder="0" applyAlignment="0" applyProtection="0"/>
    <xf numFmtId="10" fontId="1" fillId="0" borderId="0" applyFont="0" applyFill="0" applyBorder="0" applyAlignment="0" applyProtection="0"/>
    <xf numFmtId="0" fontId="10" fillId="0" borderId="0"/>
  </cellStyleXfs>
  <cellXfs count="500">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4" xfId="0" applyFont="1" applyBorder="1" applyAlignment="1">
      <alignment horizontal="center" vertical="top"/>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NumberFormat="1" applyFont="1" applyFill="1" applyAlignment="1">
      <alignment horizontal="left"/>
    </xf>
    <xf numFmtId="0" fontId="10" fillId="0" borderId="0" xfId="0" applyFont="1" applyFill="1" applyBorder="1" applyAlignment="1">
      <alignment horizontal="center"/>
    </xf>
    <xf numFmtId="0" fontId="2" fillId="6" borderId="0" xfId="0" applyFont="1" applyFill="1" applyAlignment="1">
      <alignment horizontal="center"/>
    </xf>
    <xf numFmtId="0" fontId="16" fillId="7" borderId="0" xfId="0" applyFont="1" applyFill="1" applyAlignment="1">
      <alignment vertical="center"/>
    </xf>
    <xf numFmtId="0" fontId="16" fillId="7" borderId="0" xfId="0" applyFont="1" applyFill="1" applyAlignment="1">
      <alignment horizontal="center" vertical="center"/>
    </xf>
    <xf numFmtId="0" fontId="10" fillId="0" borderId="0" xfId="0" applyNumberFormat="1" applyFont="1" applyFill="1" applyBorder="1"/>
    <xf numFmtId="0" fontId="25"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0" fontId="10" fillId="0" borderId="10" xfId="0" applyNumberFormat="1" applyFont="1" applyFill="1" applyBorder="1" applyAlignment="1"/>
    <xf numFmtId="0" fontId="10" fillId="0" borderId="3" xfId="0" applyNumberFormat="1" applyFont="1" applyFill="1" applyBorder="1" applyAlignment="1"/>
    <xf numFmtId="0" fontId="2" fillId="0" borderId="0" xfId="0" applyFont="1" applyFill="1" applyBorder="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2" fontId="2" fillId="0" borderId="4" xfId="0" applyNumberFormat="1" applyFont="1" applyFill="1" applyBorder="1" applyAlignment="1">
      <alignment horizontal="right"/>
    </xf>
    <xf numFmtId="2" fontId="10" fillId="0" borderId="4" xfId="2" applyNumberFormat="1" applyFont="1" applyFill="1" applyBorder="1" applyAlignment="1">
      <alignment horizontal="center" vertical="center"/>
    </xf>
    <xf numFmtId="2" fontId="10" fillId="0" borderId="4" xfId="0" applyNumberFormat="1" applyFont="1" applyFill="1" applyBorder="1" applyAlignment="1">
      <alignment horizontal="center" vertical="center"/>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8" fillId="0" borderId="4" xfId="0" applyFont="1" applyFill="1" applyBorder="1"/>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2" fillId="0" borderId="4" xfId="16" applyFont="1" applyBorder="1" applyAlignment="1">
      <alignment vertical="center" wrapText="1"/>
    </xf>
    <xf numFmtId="0" fontId="10" fillId="0" borderId="10" xfId="0" applyFont="1" applyFill="1" applyBorder="1"/>
    <xf numFmtId="49" fontId="2" fillId="0" borderId="4" xfId="0" applyNumberFormat="1" applyFont="1" applyFill="1" applyBorder="1" applyAlignment="1">
      <alignment vertical="center"/>
    </xf>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10" fillId="0" borderId="0" xfId="16" applyFont="1" applyAlignment="1">
      <alignment wrapText="1"/>
    </xf>
    <xf numFmtId="0" fontId="1" fillId="0" borderId="0" xfId="13" applyAlignment="1">
      <alignment horizontal="center" vertical="center" wrapText="1"/>
    </xf>
    <xf numFmtId="0" fontId="10" fillId="0" borderId="4" xfId="13" applyFont="1" applyBorder="1" applyAlignment="1">
      <alignment horizontal="center" vertical="center" wrapText="1"/>
    </xf>
    <xf numFmtId="0" fontId="2" fillId="0" borderId="0" xfId="0" applyFont="1" applyFill="1" applyBorder="1" applyAlignment="1">
      <alignment vertical="center"/>
    </xf>
    <xf numFmtId="0" fontId="2" fillId="6" borderId="0" xfId="0" applyFont="1" applyFill="1" applyBorder="1" applyAlignment="1">
      <alignment vertical="center"/>
    </xf>
    <xf numFmtId="0" fontId="2" fillId="0" borderId="0" xfId="0" applyFont="1" applyAlignment="1"/>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1"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2"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21" fillId="0" borderId="0" xfId="12" applyFont="1"/>
    <xf numFmtId="0" fontId="22" fillId="0" borderId="0" xfId="12" applyFont="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0" fontId="10" fillId="0" borderId="4" xfId="0" applyFont="1" applyBorder="1" applyAlignment="1">
      <alignment horizontal="left" vertical="top" indent="1"/>
    </xf>
    <xf numFmtId="0" fontId="10" fillId="0" borderId="4" xfId="0" quotePrefix="1" applyFont="1" applyBorder="1" applyAlignment="1">
      <alignment horizontal="left" vertical="top" indent="1"/>
    </xf>
    <xf numFmtId="0" fontId="10" fillId="0" borderId="4" xfId="0" applyFont="1" applyBorder="1" applyAlignment="1">
      <alignment horizontal="left" indent="1"/>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3"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2"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4" xfId="12" quotePrefix="1" applyFont="1" applyBorder="1" applyAlignment="1">
      <alignment horizontal="center" vertical="center"/>
    </xf>
    <xf numFmtId="0" fontId="10" fillId="0" borderId="0" xfId="12" applyFont="1" applyBorder="1" applyAlignment="1">
      <alignment horizontal="center" vertical="center"/>
    </xf>
    <xf numFmtId="0" fontId="2" fillId="0" borderId="0" xfId="0" applyFont="1" applyFill="1" applyBorder="1"/>
    <xf numFmtId="0" fontId="10" fillId="0" borderId="11"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4"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10" fillId="0" borderId="13" xfId="12" applyFont="1" applyBorder="1" applyAlignment="1">
      <alignment vertical="center"/>
    </xf>
    <xf numFmtId="0" fontId="10" fillId="0" borderId="0" xfId="12" applyFont="1" applyBorder="1" applyAlignment="1">
      <alignment vertical="center"/>
    </xf>
    <xf numFmtId="0" fontId="10" fillId="0" borderId="0" xfId="12" applyFont="1" applyAlignment="1">
      <alignment vertical="center"/>
    </xf>
    <xf numFmtId="0" fontId="2" fillId="0" borderId="0" xfId="12" applyFont="1" applyBorder="1" applyAlignment="1">
      <alignment horizontal="right" vertical="center"/>
    </xf>
    <xf numFmtId="0" fontId="2" fillId="0" borderId="4" xfId="12" applyFont="1" applyBorder="1" applyAlignment="1">
      <alignment vertical="center"/>
    </xf>
    <xf numFmtId="0" fontId="2" fillId="0" borderId="15" xfId="12" applyFont="1" applyBorder="1" applyAlignment="1">
      <alignment vertical="center" wrapText="1"/>
    </xf>
    <xf numFmtId="0" fontId="2" fillId="0" borderId="16" xfId="12" applyFont="1" applyBorder="1" applyAlignment="1">
      <alignment vertical="center" wrapText="1"/>
    </xf>
    <xf numFmtId="0" fontId="10" fillId="0" borderId="4" xfId="12" applyFont="1" applyBorder="1" applyAlignment="1">
      <alignment horizontal="center" vertical="center"/>
    </xf>
    <xf numFmtId="0" fontId="10" fillId="0" borderId="4" xfId="12" applyFont="1" applyBorder="1" applyAlignment="1">
      <alignment vertical="center"/>
    </xf>
    <xf numFmtId="0" fontId="2" fillId="0" borderId="0" xfId="12" applyFont="1" applyFill="1" applyBorder="1" applyAlignment="1">
      <alignment vertical="center"/>
    </xf>
    <xf numFmtId="0" fontId="2" fillId="0" borderId="0" xfId="12" applyFont="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7"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6" fillId="8" borderId="0" xfId="14" applyFont="1" applyFill="1" applyAlignment="1">
      <alignment vertical="center"/>
    </xf>
    <xf numFmtId="0" fontId="16" fillId="4" borderId="0" xfId="12" applyFont="1" applyFill="1" applyAlignment="1">
      <alignment horizontal="right"/>
    </xf>
    <xf numFmtId="0" fontId="15" fillId="4" borderId="0" xfId="12" applyFont="1" applyFill="1"/>
    <xf numFmtId="0" fontId="2" fillId="0" borderId="0" xfId="12" applyFont="1" applyAlignment="1">
      <alignment horizontal="center"/>
    </xf>
    <xf numFmtId="0" fontId="2" fillId="0" borderId="6" xfId="12" applyFont="1" applyFill="1" applyBorder="1" applyAlignment="1">
      <alignment horizontal="center" vertical="center" wrapText="1"/>
    </xf>
    <xf numFmtId="0" fontId="10" fillId="0" borderId="6" xfId="12" applyFont="1" applyFill="1" applyBorder="1" applyAlignment="1">
      <alignment horizontal="center" vertical="center" wrapText="1"/>
    </xf>
    <xf numFmtId="0" fontId="10" fillId="0" borderId="17" xfId="12" applyFont="1" applyFill="1" applyBorder="1" applyAlignment="1">
      <alignment horizontal="center" vertical="center" wrapText="1"/>
    </xf>
    <xf numFmtId="0" fontId="2" fillId="0" borderId="18" xfId="12" applyFont="1" applyFill="1" applyBorder="1" applyAlignment="1">
      <alignment horizontal="center" vertical="center" wrapText="1"/>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10" fillId="0" borderId="0" xfId="22" applyFont="1" applyAlignment="1">
      <alignment horizontal="center"/>
    </xf>
    <xf numFmtId="0" fontId="2" fillId="6" borderId="0" xfId="0" applyFont="1" applyFill="1" applyBorder="1" applyAlignment="1">
      <alignment horizontal="left" vertical="center"/>
    </xf>
    <xf numFmtId="0" fontId="2" fillId="0" borderId="10" xfId="0" applyFont="1" applyFill="1" applyBorder="1" applyAlignment="1">
      <alignment horizontal="center"/>
    </xf>
    <xf numFmtId="0" fontId="10" fillId="0" borderId="10" xfId="0" applyFont="1" applyFill="1" applyBorder="1" applyAlignment="1">
      <alignment horizontal="center"/>
    </xf>
    <xf numFmtId="49" fontId="2" fillId="0" borderId="4" xfId="0" applyNumberFormat="1" applyFont="1" applyFill="1" applyBorder="1" applyAlignment="1">
      <alignment horizontal="right" vertical="center"/>
    </xf>
    <xf numFmtId="0" fontId="2" fillId="0" borderId="4" xfId="0" applyFont="1" applyFill="1" applyBorder="1" applyAlignment="1">
      <alignment horizontal="right"/>
    </xf>
    <xf numFmtId="0" fontId="10" fillId="0" borderId="4" xfId="0" applyFont="1" applyFill="1" applyBorder="1" applyAlignment="1">
      <alignment horizontal="right"/>
    </xf>
    <xf numFmtId="10" fontId="10" fillId="0" borderId="4" xfId="0" applyNumberFormat="1" applyFont="1" applyFill="1" applyBorder="1"/>
    <xf numFmtId="0" fontId="2" fillId="0" borderId="4" xfId="0" applyNumberFormat="1" applyFont="1" applyFill="1" applyBorder="1" applyAlignment="1">
      <alignment vertical="center" wrapText="1"/>
    </xf>
    <xf numFmtId="2" fontId="2" fillId="0" borderId="4" xfId="0" applyNumberFormat="1" applyFont="1" applyFill="1" applyBorder="1"/>
    <xf numFmtId="10" fontId="10" fillId="0" borderId="4" xfId="13" applyNumberFormat="1" applyFont="1" applyBorder="1" applyAlignment="1">
      <alignment vertical="center" wrapText="1"/>
    </xf>
    <xf numFmtId="2" fontId="2" fillId="0" borderId="4" xfId="0" applyNumberFormat="1" applyFont="1" applyFill="1" applyBorder="1" applyAlignment="1">
      <alignment horizontal="center" vertical="center" wrapText="1"/>
    </xf>
    <xf numFmtId="0" fontId="10" fillId="0" borderId="6" xfId="18" applyFont="1" applyBorder="1" applyAlignment="1">
      <alignment horizontal="center" vertical="center"/>
    </xf>
    <xf numFmtId="0" fontId="10" fillId="0" borderId="4" xfId="18" applyFont="1" applyBorder="1" applyAlignment="1">
      <alignment horizontal="left" wrapText="1"/>
    </xf>
    <xf numFmtId="10" fontId="10" fillId="0" borderId="4" xfId="18" applyNumberFormat="1" applyFont="1" applyBorder="1" applyAlignment="1">
      <alignment vertical="center" wrapText="1"/>
    </xf>
    <xf numFmtId="2" fontId="10" fillId="0" borderId="4" xfId="18" applyNumberFormat="1" applyFont="1" applyBorder="1" applyAlignment="1">
      <alignment vertical="center"/>
    </xf>
    <xf numFmtId="2" fontId="10" fillId="0" borderId="4" xfId="18" applyNumberFormat="1" applyFont="1" applyFill="1" applyBorder="1" applyAlignment="1">
      <alignment vertical="center" wrapText="1"/>
    </xf>
    <xf numFmtId="2" fontId="10" fillId="0" borderId="4" xfId="18" applyNumberFormat="1" applyFont="1" applyBorder="1" applyAlignment="1">
      <alignment horizontal="center" vertical="center"/>
    </xf>
    <xf numFmtId="10" fontId="10" fillId="0" borderId="4" xfId="18" applyNumberFormat="1" applyFont="1" applyFill="1" applyBorder="1" applyAlignment="1">
      <alignment vertical="center" wrapText="1"/>
    </xf>
    <xf numFmtId="0" fontId="10" fillId="0" borderId="6" xfId="18" applyFont="1" applyBorder="1" applyAlignment="1">
      <alignment vertical="center"/>
    </xf>
    <xf numFmtId="2" fontId="10" fillId="0" borderId="15" xfId="18" applyNumberFormat="1" applyFont="1" applyBorder="1" applyAlignment="1">
      <alignment vertical="center"/>
    </xf>
    <xf numFmtId="2" fontId="10" fillId="0" borderId="15" xfId="18" applyNumberFormat="1" applyFont="1" applyFill="1" applyBorder="1" applyAlignment="1">
      <alignment vertical="center" wrapText="1"/>
    </xf>
    <xf numFmtId="2" fontId="10" fillId="0" borderId="15" xfId="18" applyNumberFormat="1" applyFont="1" applyBorder="1" applyAlignment="1">
      <alignment horizontal="center" vertical="center"/>
    </xf>
    <xf numFmtId="0" fontId="10" fillId="0" borderId="19" xfId="18" applyFont="1" applyBorder="1" applyAlignment="1">
      <alignment vertical="center"/>
    </xf>
    <xf numFmtId="0" fontId="10" fillId="0" borderId="15" xfId="18" applyFont="1" applyBorder="1" applyAlignment="1">
      <alignment horizontal="left" wrapText="1"/>
    </xf>
    <xf numFmtId="10" fontId="10" fillId="0" borderId="15" xfId="18" applyNumberFormat="1" applyFont="1" applyBorder="1" applyAlignment="1">
      <alignment vertical="center" wrapText="1"/>
    </xf>
    <xf numFmtId="0" fontId="10" fillId="5" borderId="17" xfId="18" applyFont="1" applyFill="1" applyBorder="1" applyAlignment="1">
      <alignment vertical="center"/>
    </xf>
    <xf numFmtId="0" fontId="2" fillId="5" borderId="18" xfId="18" applyFont="1" applyFill="1" applyBorder="1" applyAlignment="1">
      <alignment vertical="center"/>
    </xf>
    <xf numFmtId="2" fontId="2" fillId="5" borderId="18" xfId="18" applyNumberFormat="1" applyFont="1" applyFill="1" applyBorder="1" applyAlignment="1">
      <alignment vertical="center"/>
    </xf>
    <xf numFmtId="2" fontId="10" fillId="0" borderId="0" xfId="18" applyNumberFormat="1" applyFont="1" applyBorder="1" applyAlignment="1">
      <alignment horizontal="center" vertical="center"/>
    </xf>
    <xf numFmtId="2" fontId="10" fillId="0" borderId="0" xfId="18" applyNumberFormat="1" applyFont="1" applyBorder="1" applyAlignment="1">
      <alignment vertical="center"/>
    </xf>
    <xf numFmtId="2" fontId="10" fillId="0" borderId="0" xfId="18" applyNumberFormat="1" applyFont="1" applyFill="1" applyBorder="1" applyAlignment="1">
      <alignment vertical="center" wrapText="1"/>
    </xf>
    <xf numFmtId="2" fontId="2" fillId="5" borderId="0" xfId="18" applyNumberFormat="1" applyFont="1" applyFill="1" applyBorder="1" applyAlignment="1">
      <alignment vertical="center"/>
    </xf>
    <xf numFmtId="0" fontId="10" fillId="0" borderId="0" xfId="13" applyFont="1" applyAlignment="1">
      <alignment vertical="center"/>
    </xf>
    <xf numFmtId="4" fontId="10" fillId="0" borderId="4" xfId="12" applyNumberFormat="1" applyFont="1" applyBorder="1" applyAlignment="1">
      <alignment vertical="center"/>
    </xf>
    <xf numFmtId="4" fontId="10" fillId="0" borderId="0" xfId="12" applyNumberFormat="1" applyFont="1" applyAlignment="1">
      <alignment vertical="center"/>
    </xf>
    <xf numFmtId="2" fontId="10" fillId="0" borderId="10" xfId="0" applyNumberFormat="1" applyFont="1" applyFill="1" applyBorder="1"/>
    <xf numFmtId="2" fontId="2" fillId="0" borderId="4" xfId="13" applyNumberFormat="1" applyFont="1" applyBorder="1" applyAlignment="1">
      <alignment vertical="center" wrapText="1"/>
    </xf>
    <xf numFmtId="2" fontId="10" fillId="0" borderId="4" xfId="0" applyNumberFormat="1" applyFont="1" applyFill="1" applyBorder="1" applyAlignment="1">
      <alignment vertical="center"/>
    </xf>
    <xf numFmtId="2" fontId="2" fillId="0" borderId="4" xfId="0" applyNumberFormat="1" applyFont="1" applyFill="1" applyBorder="1" applyAlignment="1">
      <alignment vertical="center"/>
    </xf>
    <xf numFmtId="0" fontId="10" fillId="0" borderId="15" xfId="17" applyFont="1" applyBorder="1" applyAlignment="1">
      <alignment horizontal="left" wrapText="1"/>
    </xf>
    <xf numFmtId="10" fontId="10" fillId="0" borderId="15" xfId="17" applyNumberFormat="1" applyFont="1" applyBorder="1" applyAlignment="1">
      <alignment vertical="center" wrapText="1"/>
    </xf>
    <xf numFmtId="10" fontId="2" fillId="0" borderId="4" xfId="0" applyNumberFormat="1" applyFont="1" applyFill="1" applyBorder="1"/>
    <xf numFmtId="10" fontId="10" fillId="0" borderId="4" xfId="0" applyNumberFormat="1" applyFont="1" applyFill="1" applyBorder="1" applyAlignment="1">
      <alignment horizontal="right" vertical="center"/>
    </xf>
    <xf numFmtId="10" fontId="10" fillId="0" borderId="4" xfId="0" applyNumberFormat="1" applyFont="1" applyFill="1" applyBorder="1" applyAlignment="1">
      <alignment vertical="center"/>
    </xf>
    <xf numFmtId="0" fontId="10" fillId="0" borderId="4" xfId="12" applyFont="1" applyFill="1" applyBorder="1" applyAlignment="1">
      <alignment horizontal="right" vertical="center"/>
    </xf>
    <xf numFmtId="2" fontId="10" fillId="0" borderId="4" xfId="16" applyNumberFormat="1" applyFont="1" applyBorder="1" applyAlignment="1">
      <alignment vertical="center"/>
    </xf>
    <xf numFmtId="2" fontId="10" fillId="0" borderId="4" xfId="16" applyNumberFormat="1" applyFont="1" applyBorder="1" applyAlignment="1">
      <alignment vertical="center" wrapText="1"/>
    </xf>
    <xf numFmtId="2" fontId="2" fillId="0" borderId="4" xfId="16" applyNumberFormat="1" applyFont="1" applyBorder="1" applyAlignment="1">
      <alignment vertical="center" wrapText="1"/>
    </xf>
    <xf numFmtId="2" fontId="10" fillId="0" borderId="4" xfId="16" applyNumberFormat="1" applyFont="1" applyBorder="1" applyAlignment="1">
      <alignment horizontal="left" vertical="center" wrapText="1"/>
    </xf>
    <xf numFmtId="2" fontId="10" fillId="0" borderId="4" xfId="16" applyNumberFormat="1" applyFont="1" applyBorder="1" applyAlignment="1">
      <alignment horizontal="left" vertical="center"/>
    </xf>
    <xf numFmtId="165" fontId="10"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xf>
    <xf numFmtId="165" fontId="10" fillId="0" borderId="4" xfId="0" applyNumberFormat="1" applyFont="1" applyFill="1" applyBorder="1" applyAlignment="1">
      <alignment horizontal="center"/>
    </xf>
    <xf numFmtId="10" fontId="10" fillId="0" borderId="4" xfId="0" applyNumberFormat="1" applyFont="1" applyFill="1" applyBorder="1" applyAlignment="1">
      <alignment horizontal="center" vertical="center"/>
    </xf>
    <xf numFmtId="43" fontId="13" fillId="0" borderId="4" xfId="0" applyNumberFormat="1" applyFont="1" applyFill="1" applyBorder="1" applyAlignment="1">
      <alignment horizontal="center"/>
    </xf>
    <xf numFmtId="43" fontId="13" fillId="0" borderId="4" xfId="0" applyNumberFormat="1" applyFont="1" applyFill="1" applyBorder="1" applyAlignment="1">
      <alignment horizontal="center" vertical="center"/>
    </xf>
    <xf numFmtId="43" fontId="10" fillId="0" borderId="4" xfId="0" applyNumberFormat="1" applyFont="1" applyFill="1" applyBorder="1" applyAlignment="1">
      <alignment horizontal="center" vertical="center"/>
    </xf>
    <xf numFmtId="43" fontId="10" fillId="0" borderId="4" xfId="0" applyNumberFormat="1" applyFont="1" applyFill="1" applyBorder="1" applyAlignment="1">
      <alignment horizontal="center"/>
    </xf>
    <xf numFmtId="43" fontId="10" fillId="0" borderId="4" xfId="19" applyNumberFormat="1" applyFont="1" applyFill="1" applyBorder="1" applyAlignment="1">
      <alignment horizontal="center" vertical="center"/>
    </xf>
    <xf numFmtId="43" fontId="10" fillId="0" borderId="4" xfId="2" applyNumberFormat="1" applyFont="1" applyFill="1" applyBorder="1" applyAlignment="1">
      <alignment horizontal="center" vertical="center"/>
    </xf>
    <xf numFmtId="43" fontId="2" fillId="0" borderId="4" xfId="0" applyNumberFormat="1" applyFont="1" applyFill="1" applyBorder="1" applyAlignment="1">
      <alignment horizontal="center"/>
    </xf>
    <xf numFmtId="43" fontId="10" fillId="0" borderId="10" xfId="15" applyNumberFormat="1" applyFont="1" applyFill="1" applyBorder="1" applyAlignment="1">
      <alignment vertical="center" wrapText="1"/>
    </xf>
    <xf numFmtId="43" fontId="10" fillId="0" borderId="4" xfId="16" applyNumberFormat="1" applyFont="1" applyBorder="1" applyAlignment="1">
      <alignment vertical="center" wrapText="1"/>
    </xf>
    <xf numFmtId="43" fontId="2" fillId="0" borderId="10" xfId="15" applyNumberFormat="1" applyFont="1" applyFill="1" applyBorder="1" applyAlignment="1">
      <alignment horizontal="center" vertical="center" wrapText="1"/>
    </xf>
    <xf numFmtId="49" fontId="2" fillId="0" borderId="4" xfId="22" applyNumberFormat="1" applyFont="1" applyFill="1" applyBorder="1" applyAlignment="1">
      <alignment horizontal="center" vertical="center" wrapText="1"/>
    </xf>
    <xf numFmtId="43" fontId="10" fillId="0" borderId="4" xfId="12" applyNumberFormat="1" applyFont="1" applyFill="1" applyBorder="1" applyAlignment="1">
      <alignment horizontal="left" vertical="center"/>
    </xf>
    <xf numFmtId="43" fontId="10" fillId="0" borderId="4" xfId="12" applyNumberFormat="1" applyFont="1" applyFill="1" applyBorder="1" applyAlignment="1">
      <alignment horizontal="center" vertical="center"/>
    </xf>
    <xf numFmtId="43" fontId="10" fillId="0" borderId="4" xfId="12" applyNumberFormat="1" applyFont="1" applyFill="1" applyBorder="1" applyAlignment="1">
      <alignment horizontal="right" vertical="center"/>
    </xf>
    <xf numFmtId="0" fontId="1" fillId="0" borderId="4" xfId="13" applyFill="1" applyBorder="1" applyAlignment="1">
      <alignment vertical="center" wrapText="1"/>
    </xf>
    <xf numFmtId="9" fontId="10" fillId="0" borderId="4" xfId="0" applyNumberFormat="1" applyFont="1" applyFill="1" applyBorder="1" applyAlignment="1">
      <alignment horizontal="center" vertical="center"/>
    </xf>
    <xf numFmtId="2" fontId="2" fillId="0" borderId="4" xfId="12" applyNumberFormat="1" applyFont="1" applyFill="1" applyBorder="1" applyAlignment="1">
      <alignment horizontal="right" vertical="center"/>
    </xf>
    <xf numFmtId="0" fontId="13" fillId="0" borderId="4" xfId="0" applyFont="1" applyFill="1" applyBorder="1" applyAlignment="1">
      <alignment vertical="center" wrapText="1"/>
    </xf>
    <xf numFmtId="2" fontId="10" fillId="0" borderId="4" xfId="12" applyNumberFormat="1" applyFont="1" applyFill="1" applyBorder="1" applyAlignment="1">
      <alignment horizontal="left" vertical="center"/>
    </xf>
    <xf numFmtId="2" fontId="10" fillId="0" borderId="4" xfId="12" applyNumberFormat="1" applyFont="1" applyFill="1" applyBorder="1" applyAlignment="1">
      <alignment vertical="center"/>
    </xf>
    <xf numFmtId="0" fontId="2" fillId="0" borderId="10" xfId="0" applyFont="1" applyFill="1" applyBorder="1" applyAlignment="1">
      <alignment horizontal="center" vertical="center" wrapText="1"/>
    </xf>
    <xf numFmtId="0" fontId="2" fillId="0" borderId="10" xfId="0" applyFont="1" applyFill="1" applyBorder="1"/>
    <xf numFmtId="0" fontId="10" fillId="0" borderId="10" xfId="0" applyFont="1" applyFill="1" applyBorder="1" applyAlignment="1">
      <alignment wrapText="1"/>
    </xf>
    <xf numFmtId="0" fontId="0" fillId="0" borderId="4" xfId="0" applyBorder="1"/>
    <xf numFmtId="0" fontId="2" fillId="6" borderId="0" xfId="0" applyFont="1" applyFill="1" applyBorder="1" applyAlignment="1">
      <alignment horizontal="center" vertical="center"/>
    </xf>
    <xf numFmtId="0" fontId="16" fillId="7" borderId="0" xfId="0" applyFont="1" applyFill="1" applyAlignment="1">
      <alignment vertical="center" wrapText="1"/>
    </xf>
    <xf numFmtId="0" fontId="2" fillId="0" borderId="10" xfId="12" applyFont="1" applyFill="1" applyBorder="1" applyAlignment="1">
      <alignment vertical="center"/>
    </xf>
    <xf numFmtId="0" fontId="2" fillId="0" borderId="3" xfId="12" applyFont="1" applyFill="1" applyBorder="1" applyAlignment="1">
      <alignment vertical="center"/>
    </xf>
    <xf numFmtId="0" fontId="2" fillId="10" borderId="0" xfId="0" applyFont="1" applyFill="1" applyBorder="1" applyAlignment="1">
      <alignment vertical="center"/>
    </xf>
    <xf numFmtId="0" fontId="10" fillId="10" borderId="0" xfId="12" applyFont="1" applyFill="1"/>
    <xf numFmtId="0" fontId="26" fillId="0" borderId="0" xfId="14" applyFont="1" applyFill="1" applyAlignment="1">
      <alignment vertical="center"/>
    </xf>
    <xf numFmtId="10" fontId="10" fillId="11" borderId="4" xfId="0" applyNumberFormat="1" applyFont="1" applyFill="1" applyBorder="1" applyAlignment="1">
      <alignment horizontal="center" vertical="center"/>
    </xf>
    <xf numFmtId="2" fontId="10" fillId="0" borderId="4" xfId="0" applyNumberFormat="1" applyFont="1" applyFill="1" applyBorder="1" applyAlignment="1">
      <alignment horizontal="center"/>
    </xf>
    <xf numFmtId="0" fontId="1" fillId="12" borderId="0" xfId="13" applyFill="1" applyAlignment="1">
      <alignment vertical="center"/>
    </xf>
    <xf numFmtId="0" fontId="16" fillId="7" borderId="0" xfId="0" applyFont="1" applyFill="1" applyAlignment="1">
      <alignment horizontal="right" vertical="center"/>
    </xf>
    <xf numFmtId="2" fontId="13" fillId="11" borderId="4" xfId="0" applyNumberFormat="1" applyFont="1" applyFill="1" applyBorder="1" applyAlignment="1">
      <alignment horizontal="center"/>
    </xf>
    <xf numFmtId="2" fontId="13" fillId="11" borderId="4" xfId="0" applyNumberFormat="1" applyFont="1" applyFill="1" applyBorder="1" applyAlignment="1">
      <alignment horizontal="center" vertical="center"/>
    </xf>
    <xf numFmtId="10" fontId="13" fillId="11" borderId="4" xfId="0" applyNumberFormat="1" applyFont="1" applyFill="1" applyBorder="1" applyAlignment="1">
      <alignment horizontal="center" vertical="center"/>
    </xf>
    <xf numFmtId="165" fontId="13" fillId="11" borderId="4" xfId="0" applyNumberFormat="1" applyFont="1" applyFill="1" applyBorder="1" applyAlignment="1">
      <alignment horizontal="center"/>
    </xf>
    <xf numFmtId="10" fontId="10" fillId="11" borderId="4" xfId="0" applyNumberFormat="1" applyFont="1" applyFill="1" applyBorder="1" applyAlignment="1">
      <alignment horizontal="center"/>
    </xf>
    <xf numFmtId="10" fontId="10" fillId="11" borderId="4" xfId="19" applyNumberFormat="1" applyFont="1" applyFill="1" applyBorder="1" applyAlignment="1">
      <alignment horizontal="center" vertical="center"/>
    </xf>
    <xf numFmtId="0" fontId="10" fillId="11" borderId="4" xfId="0" applyFont="1" applyFill="1" applyBorder="1" applyAlignment="1">
      <alignment horizontal="center"/>
    </xf>
    <xf numFmtId="165" fontId="10" fillId="11" borderId="4" xfId="0" applyNumberFormat="1" applyFont="1" applyFill="1" applyBorder="1" applyAlignment="1">
      <alignment horizontal="center" vertical="center"/>
    </xf>
    <xf numFmtId="165" fontId="10" fillId="11" borderId="4" xfId="0" applyNumberFormat="1" applyFont="1" applyFill="1" applyBorder="1" applyAlignment="1">
      <alignment horizontal="center"/>
    </xf>
    <xf numFmtId="2" fontId="10" fillId="11" borderId="4" xfId="0" applyNumberFormat="1" applyFont="1" applyFill="1" applyBorder="1" applyAlignment="1">
      <alignment horizontal="center"/>
    </xf>
    <xf numFmtId="2" fontId="10" fillId="11" borderId="4" xfId="2" applyNumberFormat="1" applyFont="1" applyFill="1" applyBorder="1" applyAlignment="1">
      <alignment horizontal="center" vertical="center"/>
    </xf>
    <xf numFmtId="0" fontId="10" fillId="11" borderId="4" xfId="0" applyFont="1" applyFill="1" applyBorder="1" applyAlignment="1">
      <alignment horizontal="center" vertical="center"/>
    </xf>
    <xf numFmtId="2" fontId="10" fillId="11" borderId="4" xfId="0" applyNumberFormat="1" applyFont="1" applyFill="1" applyBorder="1" applyAlignment="1">
      <alignment horizontal="center" vertical="center"/>
    </xf>
    <xf numFmtId="165" fontId="2" fillId="5" borderId="18" xfId="18" applyNumberFormat="1" applyFont="1" applyFill="1" applyBorder="1" applyAlignment="1">
      <alignment vertical="center"/>
    </xf>
    <xf numFmtId="169" fontId="2" fillId="5" borderId="18" xfId="18" applyNumberFormat="1" applyFont="1" applyFill="1" applyBorder="1" applyAlignment="1">
      <alignment vertical="center"/>
    </xf>
    <xf numFmtId="10" fontId="10" fillId="0" borderId="4" xfId="0" applyNumberFormat="1" applyFont="1" applyFill="1" applyBorder="1" applyAlignment="1">
      <alignment horizontal="center"/>
    </xf>
    <xf numFmtId="2" fontId="2" fillId="5" borderId="4" xfId="18" applyNumberFormat="1" applyFont="1" applyFill="1" applyBorder="1" applyAlignment="1">
      <alignment vertical="center"/>
    </xf>
    <xf numFmtId="0" fontId="2" fillId="11" borderId="4" xfId="0" applyFont="1" applyFill="1" applyBorder="1" applyAlignment="1">
      <alignment horizontal="center" vertical="center"/>
    </xf>
    <xf numFmtId="0" fontId="2" fillId="11" borderId="4" xfId="0" applyFont="1" applyFill="1" applyBorder="1" applyAlignment="1">
      <alignment horizontal="center" vertical="center" wrapText="1"/>
    </xf>
    <xf numFmtId="2" fontId="10" fillId="11" borderId="4" xfId="18" applyNumberFormat="1" applyFont="1" applyFill="1" applyBorder="1" applyAlignment="1">
      <alignment horizontal="center" vertical="center"/>
    </xf>
    <xf numFmtId="2" fontId="10" fillId="11" borderId="4" xfId="18" applyNumberFormat="1" applyFont="1" applyFill="1" applyBorder="1" applyAlignment="1">
      <alignment vertical="center" wrapText="1"/>
    </xf>
    <xf numFmtId="2" fontId="10" fillId="11" borderId="4" xfId="18" applyNumberFormat="1" applyFont="1" applyFill="1" applyBorder="1" applyAlignment="1">
      <alignment vertical="center"/>
    </xf>
    <xf numFmtId="49" fontId="2" fillId="11" borderId="4" xfId="0" applyNumberFormat="1" applyFont="1" applyFill="1" applyBorder="1" applyAlignment="1">
      <alignment horizontal="center" vertical="center" wrapText="1"/>
    </xf>
    <xf numFmtId="49" fontId="2" fillId="11" borderId="4" xfId="0" applyNumberFormat="1" applyFont="1" applyFill="1" applyBorder="1" applyAlignment="1">
      <alignment horizontal="right" vertical="center"/>
    </xf>
    <xf numFmtId="2" fontId="10" fillId="11" borderId="4" xfId="0" applyNumberFormat="1" applyFont="1" applyFill="1" applyBorder="1" applyAlignment="1">
      <alignment vertical="center"/>
    </xf>
    <xf numFmtId="2" fontId="10" fillId="11" borderId="4" xfId="0" applyNumberFormat="1" applyFont="1" applyFill="1" applyBorder="1" applyAlignment="1">
      <alignment horizontal="right" vertical="center"/>
    </xf>
    <xf numFmtId="2" fontId="2" fillId="11" borderId="4" xfId="0" applyNumberFormat="1" applyFont="1" applyFill="1" applyBorder="1" applyAlignment="1">
      <alignment horizontal="right" vertical="center"/>
    </xf>
    <xf numFmtId="2" fontId="2" fillId="11" borderId="4" xfId="0" applyNumberFormat="1" applyFont="1" applyFill="1" applyBorder="1"/>
    <xf numFmtId="2" fontId="2" fillId="11" borderId="4" xfId="0" applyNumberFormat="1" applyFont="1" applyFill="1" applyBorder="1" applyAlignment="1">
      <alignment horizontal="right"/>
    </xf>
    <xf numFmtId="2" fontId="2" fillId="11" borderId="4" xfId="0" applyNumberFormat="1" applyFont="1" applyFill="1" applyBorder="1" applyAlignment="1">
      <alignment vertical="center"/>
    </xf>
    <xf numFmtId="2" fontId="10" fillId="11" borderId="4" xfId="0" applyNumberFormat="1" applyFont="1" applyFill="1" applyBorder="1"/>
    <xf numFmtId="2" fontId="10" fillId="11" borderId="4" xfId="0" applyNumberFormat="1" applyFont="1" applyFill="1" applyBorder="1" applyAlignment="1">
      <alignment horizontal="right"/>
    </xf>
    <xf numFmtId="2" fontId="2" fillId="11" borderId="4" xfId="13" applyNumberFormat="1" applyFont="1" applyFill="1" applyBorder="1" applyAlignment="1">
      <alignment vertical="center" wrapText="1"/>
    </xf>
    <xf numFmtId="49" fontId="2" fillId="11" borderId="4" xfId="0" applyNumberFormat="1" applyFont="1" applyFill="1" applyBorder="1" applyAlignment="1">
      <alignment horizontal="center" vertical="center"/>
    </xf>
    <xf numFmtId="0" fontId="2" fillId="11" borderId="4" xfId="0" applyFont="1" applyFill="1" applyBorder="1" applyAlignment="1">
      <alignment vertical="center"/>
    </xf>
    <xf numFmtId="10" fontId="18" fillId="11" borderId="4" xfId="0" applyNumberFormat="1" applyFont="1" applyFill="1" applyBorder="1" applyAlignment="1">
      <alignment horizontal="center"/>
    </xf>
    <xf numFmtId="0" fontId="10" fillId="11" borderId="3" xfId="0" applyNumberFormat="1" applyFont="1" applyFill="1" applyBorder="1" applyAlignment="1"/>
    <xf numFmtId="2" fontId="10" fillId="11" borderId="4" xfId="2" applyNumberFormat="1" applyFont="1" applyFill="1" applyBorder="1" applyAlignment="1">
      <alignment horizontal="right" vertical="center"/>
    </xf>
    <xf numFmtId="0" fontId="10" fillId="0" borderId="0" xfId="13" applyFont="1" applyAlignment="1">
      <alignment horizontal="left" vertical="center" wrapText="1"/>
    </xf>
    <xf numFmtId="2" fontId="1" fillId="0" borderId="4" xfId="13" applyNumberFormat="1" applyBorder="1" applyAlignment="1">
      <alignment vertical="center" wrapText="1"/>
    </xf>
    <xf numFmtId="10" fontId="2" fillId="0" borderId="4" xfId="0" applyNumberFormat="1" applyFont="1" applyFill="1" applyBorder="1" applyAlignment="1">
      <alignment vertical="center"/>
    </xf>
    <xf numFmtId="10" fontId="2" fillId="0" borderId="4" xfId="0" applyNumberFormat="1" applyFont="1" applyFill="1" applyBorder="1" applyAlignment="1">
      <alignment horizontal="right" vertical="center"/>
    </xf>
    <xf numFmtId="0" fontId="0" fillId="0" borderId="4" xfId="0" applyFill="1" applyBorder="1" applyAlignment="1">
      <alignment wrapText="1"/>
    </xf>
    <xf numFmtId="0" fontId="0" fillId="0" borderId="4" xfId="0" applyBorder="1" applyAlignment="1">
      <alignment wrapText="1"/>
    </xf>
    <xf numFmtId="0" fontId="2" fillId="0" borderId="0" xfId="0" applyFont="1" applyFill="1" applyBorder="1" applyAlignment="1">
      <alignment horizontal="center" vertical="center"/>
    </xf>
    <xf numFmtId="0" fontId="2" fillId="6" borderId="0" xfId="0" applyFont="1" applyFill="1" applyBorder="1" applyAlignment="1">
      <alignment horizontal="left" vertical="center"/>
    </xf>
    <xf numFmtId="0" fontId="2" fillId="6" borderId="0" xfId="0" applyFont="1" applyFill="1" applyBorder="1" applyAlignment="1">
      <alignment horizontal="center" vertical="center"/>
    </xf>
    <xf numFmtId="0" fontId="19" fillId="0" borderId="0" xfId="12" applyFont="1" applyFill="1" applyBorder="1" applyAlignment="1">
      <alignment horizontal="left" wrapText="1"/>
    </xf>
    <xf numFmtId="0" fontId="16" fillId="7" borderId="0" xfId="0" applyFont="1" applyFill="1" applyAlignment="1">
      <alignment horizontal="right" vertical="center"/>
    </xf>
    <xf numFmtId="0" fontId="2" fillId="0" borderId="4" xfId="12" applyFont="1" applyBorder="1" applyAlignment="1">
      <alignment horizontal="right" vertical="center"/>
    </xf>
    <xf numFmtId="0" fontId="2" fillId="0" borderId="4" xfId="0" applyFont="1" applyFill="1" applyBorder="1" applyAlignment="1">
      <alignment horizontal="center" vertical="center"/>
    </xf>
    <xf numFmtId="49" fontId="2" fillId="0" borderId="4" xfId="0" applyNumberFormat="1" applyFont="1" applyFill="1" applyBorder="1" applyAlignment="1">
      <alignment horizontal="center" vertical="center"/>
    </xf>
    <xf numFmtId="0" fontId="2" fillId="0" borderId="4" xfId="12" applyFont="1" applyFill="1" applyBorder="1" applyAlignment="1">
      <alignment horizontal="center" vertical="center" wrapText="1"/>
    </xf>
    <xf numFmtId="170" fontId="2" fillId="0" borderId="4" xfId="0" applyNumberFormat="1" applyFont="1" applyFill="1" applyBorder="1" applyAlignment="1">
      <alignment vertical="center" wrapText="1"/>
    </xf>
    <xf numFmtId="170" fontId="2" fillId="0" borderId="4" xfId="0" applyNumberFormat="1" applyFont="1" applyFill="1" applyBorder="1" applyAlignment="1">
      <alignment horizontal="center" vertical="center" wrapText="1"/>
    </xf>
    <xf numFmtId="0" fontId="2" fillId="0" borderId="12" xfId="12" applyFont="1" applyFill="1" applyBorder="1" applyAlignment="1">
      <alignment vertical="center"/>
    </xf>
    <xf numFmtId="165" fontId="0" fillId="0" borderId="4" xfId="0" applyNumberFormat="1" applyFill="1" applyBorder="1"/>
    <xf numFmtId="165" fontId="10" fillId="0" borderId="4" xfId="12" applyNumberFormat="1" applyFont="1" applyBorder="1" applyAlignment="1">
      <alignment vertical="center"/>
    </xf>
    <xf numFmtId="165" fontId="0" fillId="0" borderId="4" xfId="0" applyNumberFormat="1" applyBorder="1" applyAlignment="1">
      <alignment wrapText="1"/>
    </xf>
    <xf numFmtId="165" fontId="0" fillId="0" borderId="4" xfId="0" applyNumberFormat="1" applyBorder="1"/>
    <xf numFmtId="165" fontId="0" fillId="0" borderId="0" xfId="0" applyNumberFormat="1" applyFill="1" applyAlignment="1">
      <alignment wrapText="1"/>
    </xf>
    <xf numFmtId="43" fontId="2" fillId="0" borderId="4" xfId="15" applyNumberFormat="1" applyFont="1" applyFill="1" applyBorder="1" applyAlignment="1">
      <alignment horizontal="center" vertical="center" wrapText="1"/>
    </xf>
    <xf numFmtId="0" fontId="0" fillId="0" borderId="0" xfId="13" applyFont="1" applyAlignment="1">
      <alignment vertical="center"/>
    </xf>
    <xf numFmtId="0" fontId="15" fillId="11" borderId="0" xfId="12" applyFont="1" applyFill="1"/>
    <xf numFmtId="0" fontId="10" fillId="0" borderId="4" xfId="12" applyFont="1" applyBorder="1" applyAlignment="1">
      <alignment horizontal="center"/>
    </xf>
    <xf numFmtId="0" fontId="10" fillId="0" borderId="4" xfId="12" applyFont="1" applyFill="1" applyBorder="1" applyAlignment="1">
      <alignment horizontal="center" vertical="center"/>
    </xf>
    <xf numFmtId="43" fontId="2" fillId="0" borderId="4" xfId="12" applyNumberFormat="1" applyFont="1" applyFill="1" applyBorder="1" applyAlignment="1">
      <alignment horizontal="right" vertical="center"/>
    </xf>
    <xf numFmtId="0" fontId="2" fillId="11" borderId="0" xfId="0" applyFont="1" applyFill="1" applyBorder="1" applyAlignment="1">
      <alignment vertical="center"/>
    </xf>
    <xf numFmtId="0" fontId="12" fillId="11" borderId="0" xfId="13" applyFont="1" applyFill="1" applyAlignment="1">
      <alignment vertical="center"/>
    </xf>
    <xf numFmtId="0" fontId="1" fillId="11" borderId="0" xfId="13" applyFill="1" applyAlignment="1">
      <alignment vertical="center"/>
    </xf>
    <xf numFmtId="0" fontId="1" fillId="0" borderId="0" xfId="0" applyNumberFormat="1" applyFont="1" applyFill="1"/>
    <xf numFmtId="0" fontId="2" fillId="0" borderId="20" xfId="0" applyFont="1" applyFill="1" applyBorder="1" applyAlignment="1">
      <alignment horizontal="center"/>
    </xf>
    <xf numFmtId="0" fontId="2" fillId="0" borderId="0" xfId="0" applyFont="1" applyFill="1" applyAlignment="1">
      <alignment horizontal="center"/>
    </xf>
    <xf numFmtId="0" fontId="16" fillId="9" borderId="0" xfId="0" applyFont="1" applyFill="1" applyBorder="1" applyAlignment="1">
      <alignment horizontal="center" vertical="center" wrapText="1"/>
    </xf>
    <xf numFmtId="0" fontId="2" fillId="6" borderId="0" xfId="0" applyFont="1" applyFill="1" applyAlignment="1">
      <alignment horizontal="left"/>
    </xf>
    <xf numFmtId="0" fontId="10" fillId="0" borderId="10" xfId="0" applyNumberFormat="1" applyFont="1" applyFill="1" applyBorder="1" applyAlignment="1">
      <alignment horizontal="center"/>
    </xf>
    <xf numFmtId="0" fontId="10" fillId="0" borderId="3" xfId="0" applyNumberFormat="1" applyFont="1" applyFill="1" applyBorder="1" applyAlignment="1">
      <alignment horizont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Alignment="1">
      <alignment horizontal="center"/>
    </xf>
    <xf numFmtId="0" fontId="2" fillId="6" borderId="0" xfId="0" applyFont="1" applyFill="1" applyBorder="1" applyAlignment="1">
      <alignment horizontal="left" vertical="center"/>
    </xf>
    <xf numFmtId="0" fontId="2" fillId="6" borderId="0" xfId="0" applyFont="1" applyFill="1" applyBorder="1" applyAlignment="1">
      <alignment horizontal="center" vertical="center"/>
    </xf>
    <xf numFmtId="0" fontId="16" fillId="7" borderId="0" xfId="0" applyFont="1" applyFill="1" applyAlignment="1">
      <alignment horizontal="center" vertical="center"/>
    </xf>
    <xf numFmtId="0" fontId="2" fillId="0" borderId="0" xfId="0" applyNumberFormat="1" applyFont="1" applyFill="1" applyAlignment="1">
      <alignment horizontal="center" vertical="center" wrapText="1"/>
    </xf>
    <xf numFmtId="0" fontId="10" fillId="0" borderId="10" xfId="0" applyFont="1" applyFill="1" applyBorder="1" applyAlignment="1">
      <alignment horizontal="center" vertical="center"/>
    </xf>
    <xf numFmtId="0" fontId="10" fillId="0" borderId="3" xfId="0" applyFont="1" applyFill="1" applyBorder="1" applyAlignment="1">
      <alignment horizontal="center" vertical="center"/>
    </xf>
    <xf numFmtId="10" fontId="10" fillId="0" borderId="4" xfId="0" applyNumberFormat="1" applyFont="1" applyFill="1" applyBorder="1" applyAlignment="1">
      <alignment horizontal="center" vertical="center"/>
    </xf>
    <xf numFmtId="0" fontId="10" fillId="0" borderId="0" xfId="13" applyFont="1" applyAlignment="1">
      <alignment horizontal="left" vertical="center" wrapText="1"/>
    </xf>
    <xf numFmtId="0" fontId="2" fillId="0" borderId="11" xfId="0" applyFont="1" applyBorder="1" applyAlignment="1">
      <alignment horizontal="center"/>
    </xf>
    <xf numFmtId="0" fontId="2" fillId="0" borderId="0" xfId="13" applyFont="1" applyAlignment="1">
      <alignment horizontal="center" vertical="center"/>
    </xf>
    <xf numFmtId="49" fontId="2" fillId="0" borderId="4" xfId="0" applyNumberFormat="1" applyFont="1" applyFill="1" applyBorder="1" applyAlignment="1">
      <alignment horizontal="center" vertical="center" wrapText="1"/>
    </xf>
    <xf numFmtId="49" fontId="27" fillId="0" borderId="4" xfId="0" applyNumberFormat="1" applyFont="1" applyFill="1" applyBorder="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2" xfId="0" applyFont="1" applyBorder="1" applyAlignment="1">
      <alignment horizontal="center" vertical="top"/>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2" xfId="0" applyFont="1" applyBorder="1" applyAlignment="1">
      <alignment horizontal="left" vertical="top"/>
    </xf>
    <xf numFmtId="0" fontId="23" fillId="0" borderId="10" xfId="0" applyFont="1" applyBorder="1" applyAlignment="1">
      <alignment horizontal="left" vertical="top"/>
    </xf>
    <xf numFmtId="0" fontId="23" fillId="0" borderId="3" xfId="0" applyFont="1" applyBorder="1" applyAlignment="1">
      <alignment horizontal="left" vertical="top"/>
    </xf>
    <xf numFmtId="0" fontId="23" fillId="0" borderId="12" xfId="0" applyFont="1" applyBorder="1" applyAlignment="1">
      <alignment horizontal="left" vertical="top"/>
    </xf>
    <xf numFmtId="0" fontId="10" fillId="0" borderId="10" xfId="0" applyFont="1" applyBorder="1" applyAlignment="1">
      <alignment horizontal="center"/>
    </xf>
    <xf numFmtId="0" fontId="10" fillId="0" borderId="12" xfId="0" applyFont="1" applyBorder="1" applyAlignment="1">
      <alignment horizontal="center"/>
    </xf>
    <xf numFmtId="0" fontId="27" fillId="0" borderId="21" xfId="0" applyFont="1" applyBorder="1" applyAlignment="1">
      <alignment horizontal="center"/>
    </xf>
    <xf numFmtId="0" fontId="27" fillId="0" borderId="16" xfId="0" applyFont="1" applyBorder="1" applyAlignment="1">
      <alignment horizontal="center"/>
    </xf>
    <xf numFmtId="0" fontId="27" fillId="0" borderId="22" xfId="0" applyFont="1" applyBorder="1" applyAlignment="1">
      <alignment horizontal="center"/>
    </xf>
    <xf numFmtId="0" fontId="27" fillId="0" borderId="23" xfId="0" applyFont="1" applyBorder="1" applyAlignment="1">
      <alignment horizontal="center"/>
    </xf>
    <xf numFmtId="0" fontId="27" fillId="0" borderId="24" xfId="0" applyFont="1" applyBorder="1" applyAlignment="1">
      <alignment horizontal="center"/>
    </xf>
    <xf numFmtId="0" fontId="27" fillId="0" borderId="25" xfId="0" applyFont="1" applyBorder="1" applyAlignment="1">
      <alignment horizontal="center"/>
    </xf>
    <xf numFmtId="0" fontId="16" fillId="7" borderId="0" xfId="0" applyFont="1" applyFill="1" applyAlignment="1">
      <alignment horizontal="center" vertical="center" wrapText="1"/>
    </xf>
    <xf numFmtId="0" fontId="10" fillId="0" borderId="0" xfId="0" applyFont="1" applyAlignment="1">
      <alignment horizontal="left" wrapText="1"/>
    </xf>
    <xf numFmtId="0" fontId="27" fillId="0" borderId="4" xfId="0" applyFont="1" applyBorder="1" applyAlignment="1">
      <alignment horizontal="center" vertical="center"/>
    </xf>
    <xf numFmtId="0" fontId="10" fillId="0" borderId="0" xfId="0" applyFont="1" applyAlignment="1">
      <alignment horizontal="left" vertical="center" wrapText="1"/>
    </xf>
    <xf numFmtId="0" fontId="10" fillId="0" borderId="0" xfId="0" applyFont="1" applyBorder="1" applyAlignment="1">
      <alignment horizontal="left" vertical="center" wrapText="1"/>
    </xf>
    <xf numFmtId="0" fontId="10" fillId="0" borderId="0" xfId="0" applyFont="1" applyBorder="1" applyAlignment="1">
      <alignment horizontal="left"/>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5" xfId="12" applyFont="1" applyBorder="1" applyAlignment="1">
      <alignment horizontal="center" vertical="center" wrapText="1"/>
    </xf>
    <xf numFmtId="0" fontId="2" fillId="0" borderId="14" xfId="12" applyFont="1" applyBorder="1" applyAlignment="1">
      <alignment horizontal="center" vertical="center" wrapText="1"/>
    </xf>
    <xf numFmtId="0" fontId="2" fillId="0" borderId="4" xfId="12" applyFont="1" applyBorder="1" applyAlignment="1">
      <alignment horizontal="center" vertical="center"/>
    </xf>
    <xf numFmtId="0" fontId="27" fillId="0" borderId="21" xfId="12" applyFont="1" applyBorder="1" applyAlignment="1">
      <alignment horizontal="center" vertical="center" wrapText="1"/>
    </xf>
    <xf numFmtId="0" fontId="27" fillId="0" borderId="13" xfId="12" applyFont="1" applyBorder="1" applyAlignment="1">
      <alignment horizontal="center" vertical="center" wrapText="1"/>
    </xf>
    <xf numFmtId="0" fontId="27" fillId="0" borderId="16" xfId="12" applyFont="1" applyBorder="1" applyAlignment="1">
      <alignment horizontal="center" vertical="center" wrapText="1"/>
    </xf>
    <xf numFmtId="0" fontId="27" fillId="0" borderId="22" xfId="12" applyFont="1" applyBorder="1" applyAlignment="1">
      <alignment horizontal="center" vertical="center" wrapText="1"/>
    </xf>
    <xf numFmtId="0" fontId="27" fillId="0" borderId="0" xfId="12" applyFont="1" applyBorder="1" applyAlignment="1">
      <alignment horizontal="center" vertical="center" wrapText="1"/>
    </xf>
    <xf numFmtId="0" fontId="27" fillId="0" borderId="23" xfId="12" applyFont="1" applyBorder="1" applyAlignment="1">
      <alignment horizontal="center" vertical="center" wrapText="1"/>
    </xf>
    <xf numFmtId="0" fontId="27" fillId="0" borderId="24" xfId="12" applyFont="1" applyBorder="1" applyAlignment="1">
      <alignment horizontal="center" vertical="center" wrapText="1"/>
    </xf>
    <xf numFmtId="0" fontId="27" fillId="0" borderId="11" xfId="12" applyFont="1" applyBorder="1" applyAlignment="1">
      <alignment horizontal="center" vertical="center" wrapText="1"/>
    </xf>
    <xf numFmtId="0" fontId="27" fillId="0" borderId="25" xfId="12" applyFont="1" applyBorder="1" applyAlignment="1">
      <alignment horizontal="center" vertical="center" wrapText="1"/>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4" xfId="0" applyFont="1" applyFill="1" applyBorder="1" applyAlignment="1">
      <alignment horizontal="center"/>
    </xf>
    <xf numFmtId="0" fontId="2" fillId="0" borderId="4" xfId="0" applyFont="1" applyFill="1" applyBorder="1" applyAlignment="1">
      <alignment horizontal="center" vertical="top" wrapText="1"/>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2" xfId="12" applyFont="1" applyFill="1" applyBorder="1" applyAlignment="1">
      <alignment horizontal="center" vertical="center"/>
    </xf>
    <xf numFmtId="0" fontId="10" fillId="0" borderId="0" xfId="12" applyFont="1" applyBorder="1" applyAlignment="1">
      <alignment horizontal="justify" vertical="center" wrapText="1"/>
    </xf>
    <xf numFmtId="0" fontId="10" fillId="0" borderId="0" xfId="12" applyFont="1" applyAlignment="1">
      <alignment vertical="center" wrapText="1"/>
    </xf>
    <xf numFmtId="0" fontId="10" fillId="0" borderId="0" xfId="12" quotePrefix="1" applyFont="1" applyBorder="1" applyAlignment="1">
      <alignment horizontal="justify" vertical="center"/>
    </xf>
    <xf numFmtId="0" fontId="10" fillId="0" borderId="0" xfId="12" applyFont="1" applyAlignment="1">
      <alignment horizontal="justify" vertical="center"/>
    </xf>
    <xf numFmtId="0" fontId="2" fillId="0" borderId="10" xfId="12" applyFont="1" applyBorder="1" applyAlignment="1">
      <alignment horizontal="center" vertical="center" wrapText="1"/>
    </xf>
    <xf numFmtId="0" fontId="2" fillId="0" borderId="3" xfId="12" applyFont="1" applyBorder="1" applyAlignment="1">
      <alignment horizontal="center" vertical="center" wrapText="1"/>
    </xf>
    <xf numFmtId="0" fontId="19" fillId="0" borderId="0" xfId="12" applyFont="1" applyFill="1" applyBorder="1" applyAlignment="1">
      <alignment horizontal="left" vertical="center"/>
    </xf>
    <xf numFmtId="0" fontId="2" fillId="0" borderId="15" xfId="12" applyFont="1" applyFill="1" applyBorder="1" applyAlignment="1">
      <alignment horizontal="center" vertical="center" wrapText="1"/>
    </xf>
    <xf numFmtId="0" fontId="2" fillId="0" borderId="1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10" xfId="12" applyFont="1" applyFill="1" applyBorder="1" applyAlignment="1">
      <alignment horizontal="center" vertical="center"/>
    </xf>
    <xf numFmtId="0" fontId="10" fillId="0" borderId="12" xfId="12" applyFont="1" applyFill="1" applyBorder="1" applyAlignment="1">
      <alignment horizontal="center" vertical="center"/>
    </xf>
    <xf numFmtId="0" fontId="2" fillId="0" borderId="0" xfId="16" applyFont="1" applyAlignment="1">
      <alignment horizontal="left" vertical="center" wrapText="1"/>
    </xf>
    <xf numFmtId="0" fontId="2" fillId="0" borderId="11" xfId="0" applyFont="1" applyBorder="1" applyAlignment="1">
      <alignment horizontal="right"/>
    </xf>
    <xf numFmtId="49" fontId="2" fillId="0" borderId="10"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2" xfId="0" applyFont="1" applyFill="1" applyBorder="1" applyAlignment="1">
      <alignment horizontal="center" vertical="center" wrapText="1"/>
    </xf>
    <xf numFmtId="49" fontId="2" fillId="0" borderId="4" xfId="0" applyNumberFormat="1" applyFont="1" applyFill="1" applyBorder="1" applyAlignment="1">
      <alignment horizontal="center" vertical="center"/>
    </xf>
    <xf numFmtId="49" fontId="2" fillId="11" borderId="4" xfId="0" applyNumberFormat="1" applyFont="1" applyFill="1" applyBorder="1" applyAlignment="1">
      <alignment horizontal="center" vertical="center"/>
    </xf>
    <xf numFmtId="0" fontId="2" fillId="0" borderId="1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 fillId="0" borderId="10" xfId="13" applyBorder="1" applyAlignment="1">
      <alignment horizontal="center" vertical="center"/>
    </xf>
    <xf numFmtId="0" fontId="1" fillId="0" borderId="3" xfId="13" applyBorder="1" applyAlignment="1">
      <alignment horizontal="center" vertical="center"/>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2" xfId="0" applyFont="1" applyFill="1" applyBorder="1" applyAlignment="1">
      <alignment horizontal="center" vertical="center"/>
    </xf>
    <xf numFmtId="0" fontId="10" fillId="0" borderId="0" xfId="12" applyFont="1" applyBorder="1" applyAlignment="1">
      <alignment horizontal="right"/>
    </xf>
    <xf numFmtId="0" fontId="2" fillId="10" borderId="0" xfId="0" applyFont="1" applyFill="1" applyBorder="1" applyAlignment="1">
      <alignment horizontal="center" vertical="center"/>
    </xf>
    <xf numFmtId="0" fontId="16" fillId="4" borderId="0" xfId="12" applyFont="1" applyFill="1" applyAlignment="1">
      <alignment horizontal="left"/>
    </xf>
    <xf numFmtId="49" fontId="10" fillId="0" borderId="0" xfId="22" applyNumberFormat="1" applyFont="1" applyBorder="1" applyAlignment="1">
      <alignment horizontal="left" wrapText="1"/>
    </xf>
    <xf numFmtId="0" fontId="2" fillId="0" borderId="4" xfId="12" applyFont="1" applyFill="1" applyBorder="1" applyAlignment="1">
      <alignment horizontal="center" vertical="center"/>
    </xf>
    <xf numFmtId="0" fontId="16" fillId="4" borderId="0" xfId="12" applyFont="1" applyFill="1" applyAlignment="1">
      <alignment horizontal="center"/>
    </xf>
  </cellXfs>
  <cellStyles count="23">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Normal_GTPSMYT 14.04.2011- Final" xfId="17"/>
    <cellStyle name="Normal_RPHMYT (COAL)_14.04.2011-Final" xfId="18"/>
    <cellStyle name="Percent" xfId="19" builtinId="5"/>
    <cellStyle name="Percent [0]_#6 Temps &amp; Contractors" xfId="20"/>
    <cellStyle name="Percent [2]" xfId="21"/>
    <cellStyle name="Style 1" xfId="2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3.xml"/><Relationship Id="rId42" Type="http://schemas.openxmlformats.org/officeDocument/2006/relationships/externalLink" Target="externalLinks/externalLink11.xml"/><Relationship Id="rId47" Type="http://schemas.openxmlformats.org/officeDocument/2006/relationships/externalLink" Target="externalLinks/externalLink16.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46"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externalLink" Target="externalLinks/externalLink9.xml"/><Relationship Id="rId45"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5.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4.xml"/><Relationship Id="rId43" Type="http://schemas.openxmlformats.org/officeDocument/2006/relationships/externalLink" Target="externalLinks/externalLink12.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sanjay/Desktop/DERC%20-ARR%2012-15/MYT%20Formats%20-%20Generation%20Business%20-%20RPH.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Administrator/My%20Documents/Downloads/RPH-05.02.2015%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F1"/>
      <sheetName val="F2"/>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20"/>
      <sheetName val="F21"/>
      <sheetName val="F22"/>
      <sheetName val="F23"/>
      <sheetName val="F24"/>
      <sheetName val="F25"/>
      <sheetName val="F26"/>
      <sheetName val="F27"/>
      <sheetName val="F28"/>
      <sheetName val="F29"/>
    </sheetNames>
    <sheetDataSet>
      <sheetData sheetId="0" refreshError="1">
        <row r="2">
          <cell r="A2" t="str">
            <v>Name of Company:</v>
          </cell>
          <cell r="D2" t="str">
            <v>INDRAPRASTHA POWER GENERATION COMPANY LIMITED</v>
          </cell>
        </row>
        <row r="3">
          <cell r="A3" t="str">
            <v>Name of Plant/  Station:</v>
          </cell>
          <cell r="D3" t="str">
            <v>RAJGHAT POWER HOUSE</v>
          </cell>
        </row>
        <row r="9">
          <cell r="C9" t="str">
            <v>F2</v>
          </cell>
          <cell r="D9" t="str">
            <v>Plant Charateristics</v>
          </cell>
        </row>
        <row r="10">
          <cell r="D10" t="str">
            <v>Normative Parameters Considered for Tariff Computations</v>
          </cell>
        </row>
        <row r="11">
          <cell r="D11" t="str">
            <v>Generation Details and Variable Cost</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dex"/>
      <sheetName val="F1"/>
      <sheetName val="F2 "/>
      <sheetName val="F3"/>
      <sheetName val="F4 "/>
      <sheetName val="F5"/>
      <sheetName val="F6"/>
      <sheetName val="F7"/>
      <sheetName val="F8"/>
      <sheetName val="F9"/>
      <sheetName val="F10"/>
      <sheetName val="F11"/>
      <sheetName val="F12"/>
      <sheetName val="F13"/>
      <sheetName val="F14"/>
      <sheetName val="F15"/>
      <sheetName val="F16"/>
      <sheetName val="F17"/>
      <sheetName val="F18"/>
      <sheetName val="F19"/>
      <sheetName val="F20"/>
      <sheetName val="F21"/>
      <sheetName val="F22"/>
      <sheetName val="F23"/>
      <sheetName val="F24"/>
      <sheetName val="F25"/>
      <sheetName val="F26"/>
      <sheetName val="F27"/>
      <sheetName val="F27 (a)"/>
      <sheetName val="F28"/>
      <sheetName val="F29"/>
    </sheetNames>
    <sheetDataSet>
      <sheetData sheetId="0">
        <row r="2">
          <cell r="A2" t="str">
            <v>Name of Company:</v>
          </cell>
          <cell r="D2" t="str">
            <v>INDRAPRASTHA POWER GENERATION COMPANY LIMITED</v>
          </cell>
        </row>
        <row r="3">
          <cell r="A3" t="str">
            <v>Name of Plant/  Station:</v>
          </cell>
          <cell r="D3" t="str">
            <v>Rajghat Power House</v>
          </cell>
        </row>
        <row r="21">
          <cell r="C21" t="str">
            <v>F14</v>
          </cell>
          <cell r="D21" t="str">
            <v>Details of Project Specific Loans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45"/>
  <sheetViews>
    <sheetView showGridLines="0" topLeftCell="A16" zoomScaleSheetLayoutView="80" workbookViewId="0">
      <selection activeCell="D55" sqref="D55:D56"/>
    </sheetView>
  </sheetViews>
  <sheetFormatPr defaultRowHeight="12" customHeight="1"/>
  <cols>
    <col min="1" max="1" width="6.42578125" style="18" customWidth="1"/>
    <col min="2" max="2" width="9" style="10" customWidth="1"/>
    <col min="3" max="3" width="6.28515625" style="10" customWidth="1"/>
    <col min="4" max="4" width="79.42578125" style="10" bestFit="1" customWidth="1"/>
    <col min="5" max="7" width="9.140625" style="10"/>
    <col min="8" max="8" width="16" style="10" bestFit="1" customWidth="1"/>
    <col min="9" max="16384" width="9.140625" style="10"/>
  </cols>
  <sheetData>
    <row r="1" spans="1:8" ht="12" customHeight="1">
      <c r="A1" s="391"/>
      <c r="B1" s="391"/>
      <c r="C1" s="391"/>
      <c r="D1" s="391"/>
    </row>
    <row r="2" spans="1:8" ht="12" customHeight="1">
      <c r="A2" s="393" t="s">
        <v>157</v>
      </c>
      <c r="B2" s="393"/>
      <c r="C2" s="393"/>
      <c r="D2" s="51" t="s">
        <v>684</v>
      </c>
    </row>
    <row r="3" spans="1:8" ht="12" customHeight="1">
      <c r="A3" s="393" t="s">
        <v>158</v>
      </c>
      <c r="B3" s="393"/>
      <c r="C3" s="393"/>
      <c r="D3" s="51" t="s">
        <v>685</v>
      </c>
    </row>
    <row r="4" spans="1:8" s="56" customFormat="1" ht="12" customHeight="1">
      <c r="A4" s="391"/>
      <c r="B4" s="391"/>
      <c r="C4" s="391"/>
      <c r="D4" s="391"/>
    </row>
    <row r="5" spans="1:8" s="11" customFormat="1" ht="15" customHeight="1">
      <c r="A5" s="392" t="s">
        <v>115</v>
      </c>
      <c r="B5" s="392"/>
      <c r="C5" s="392"/>
      <c r="D5" s="392"/>
    </row>
    <row r="6" spans="1:8" ht="13.5" thickBot="1">
      <c r="A6" s="390"/>
      <c r="B6" s="390"/>
      <c r="C6" s="390"/>
      <c r="D6" s="390"/>
    </row>
    <row r="7" spans="1:8" ht="15" customHeight="1">
      <c r="A7" s="13"/>
      <c r="B7" s="44" t="s">
        <v>152</v>
      </c>
      <c r="C7" s="44"/>
      <c r="D7" s="45" t="s">
        <v>26</v>
      </c>
    </row>
    <row r="8" spans="1:8" ht="15" customHeight="1">
      <c r="A8" s="14">
        <v>1</v>
      </c>
      <c r="B8" s="15" t="s">
        <v>151</v>
      </c>
      <c r="C8" s="15" t="s">
        <v>96</v>
      </c>
      <c r="D8" s="46" t="s">
        <v>153</v>
      </c>
      <c r="E8" s="50"/>
    </row>
    <row r="9" spans="1:8" ht="15" customHeight="1">
      <c r="A9" s="14">
        <f t="shared" ref="A9:A27" si="0">A8+1</f>
        <v>2</v>
      </c>
      <c r="B9" s="15" t="s">
        <v>151</v>
      </c>
      <c r="C9" s="15" t="s">
        <v>97</v>
      </c>
      <c r="D9" s="46" t="s">
        <v>154</v>
      </c>
      <c r="E9" s="50"/>
    </row>
    <row r="10" spans="1:8" ht="15" customHeight="1">
      <c r="A10" s="14">
        <f t="shared" si="0"/>
        <v>3</v>
      </c>
      <c r="B10" s="15" t="s">
        <v>151</v>
      </c>
      <c r="C10" s="15" t="s">
        <v>98</v>
      </c>
      <c r="D10" s="47" t="s">
        <v>155</v>
      </c>
      <c r="H10" s="16"/>
    </row>
    <row r="11" spans="1:8" ht="15" customHeight="1">
      <c r="A11" s="14">
        <f t="shared" si="0"/>
        <v>4</v>
      </c>
      <c r="B11" s="15" t="s">
        <v>151</v>
      </c>
      <c r="C11" s="17" t="s">
        <v>99</v>
      </c>
      <c r="D11" s="48" t="s">
        <v>248</v>
      </c>
      <c r="H11" s="16"/>
    </row>
    <row r="12" spans="1:8" ht="15" customHeight="1">
      <c r="A12" s="14">
        <f t="shared" si="0"/>
        <v>5</v>
      </c>
      <c r="B12" s="15" t="s">
        <v>151</v>
      </c>
      <c r="C12" s="17" t="s">
        <v>100</v>
      </c>
      <c r="D12" s="48" t="s">
        <v>305</v>
      </c>
      <c r="H12" s="16"/>
    </row>
    <row r="13" spans="1:8" ht="15" customHeight="1">
      <c r="A13" s="14">
        <f t="shared" si="0"/>
        <v>6</v>
      </c>
      <c r="B13" s="15" t="s">
        <v>151</v>
      </c>
      <c r="C13" s="17" t="s">
        <v>101</v>
      </c>
      <c r="D13" s="48" t="s">
        <v>314</v>
      </c>
      <c r="H13" s="16"/>
    </row>
    <row r="14" spans="1:8" ht="15" customHeight="1">
      <c r="A14" s="14">
        <f t="shared" si="0"/>
        <v>7</v>
      </c>
      <c r="B14" s="15" t="s">
        <v>151</v>
      </c>
      <c r="C14" s="17" t="s">
        <v>102</v>
      </c>
      <c r="D14" s="48" t="s">
        <v>315</v>
      </c>
      <c r="H14" s="16"/>
    </row>
    <row r="15" spans="1:8" ht="15" customHeight="1">
      <c r="A15" s="14">
        <f t="shared" si="0"/>
        <v>8</v>
      </c>
      <c r="B15" s="15" t="s">
        <v>151</v>
      </c>
      <c r="C15" s="17" t="s">
        <v>103</v>
      </c>
      <c r="D15" s="48" t="s">
        <v>363</v>
      </c>
      <c r="H15" s="16"/>
    </row>
    <row r="16" spans="1:8" ht="15" customHeight="1">
      <c r="A16" s="14">
        <f t="shared" si="0"/>
        <v>9</v>
      </c>
      <c r="B16" s="15" t="s">
        <v>151</v>
      </c>
      <c r="C16" s="17" t="s">
        <v>104</v>
      </c>
      <c r="D16" s="48" t="s">
        <v>510</v>
      </c>
      <c r="H16" s="16"/>
    </row>
    <row r="17" spans="1:8" ht="15" customHeight="1">
      <c r="A17" s="14">
        <f t="shared" si="0"/>
        <v>10</v>
      </c>
      <c r="B17" s="15" t="s">
        <v>151</v>
      </c>
      <c r="C17" s="17" t="s">
        <v>105</v>
      </c>
      <c r="D17" s="48" t="s">
        <v>511</v>
      </c>
      <c r="H17" s="16"/>
    </row>
    <row r="18" spans="1:8" ht="15" customHeight="1">
      <c r="A18" s="14">
        <f t="shared" si="0"/>
        <v>11</v>
      </c>
      <c r="B18" s="15" t="s">
        <v>151</v>
      </c>
      <c r="C18" s="17" t="s">
        <v>106</v>
      </c>
      <c r="D18" s="48" t="s">
        <v>512</v>
      </c>
      <c r="H18" s="16"/>
    </row>
    <row r="19" spans="1:8" ht="15" customHeight="1">
      <c r="A19" s="14">
        <f t="shared" si="0"/>
        <v>12</v>
      </c>
      <c r="B19" s="15" t="s">
        <v>151</v>
      </c>
      <c r="C19" s="17" t="s">
        <v>107</v>
      </c>
      <c r="D19" s="48" t="s">
        <v>364</v>
      </c>
      <c r="H19" s="16"/>
    </row>
    <row r="20" spans="1:8" ht="15" customHeight="1">
      <c r="A20" s="14">
        <f t="shared" si="0"/>
        <v>13</v>
      </c>
      <c r="B20" s="15" t="s">
        <v>151</v>
      </c>
      <c r="C20" s="17" t="s">
        <v>108</v>
      </c>
      <c r="D20" s="48" t="s">
        <v>547</v>
      </c>
      <c r="H20" s="16"/>
    </row>
    <row r="21" spans="1:8" ht="15" customHeight="1">
      <c r="A21" s="14">
        <f t="shared" si="0"/>
        <v>14</v>
      </c>
      <c r="B21" s="15" t="s">
        <v>151</v>
      </c>
      <c r="C21" s="17" t="s">
        <v>109</v>
      </c>
      <c r="D21" s="48" t="s">
        <v>550</v>
      </c>
      <c r="H21" s="16"/>
    </row>
    <row r="22" spans="1:8" ht="15" customHeight="1">
      <c r="A22" s="14">
        <f t="shared" si="0"/>
        <v>15</v>
      </c>
      <c r="B22" s="15" t="s">
        <v>151</v>
      </c>
      <c r="C22" s="17" t="s">
        <v>623</v>
      </c>
      <c r="D22" s="48" t="s">
        <v>596</v>
      </c>
      <c r="H22" s="16"/>
    </row>
    <row r="23" spans="1:8" ht="15" customHeight="1">
      <c r="A23" s="14">
        <f t="shared" si="0"/>
        <v>16</v>
      </c>
      <c r="B23" s="15" t="s">
        <v>151</v>
      </c>
      <c r="C23" s="17" t="s">
        <v>624</v>
      </c>
      <c r="D23" s="48" t="s">
        <v>602</v>
      </c>
      <c r="H23" s="16"/>
    </row>
    <row r="24" spans="1:8" ht="15" customHeight="1">
      <c r="A24" s="14">
        <f t="shared" si="0"/>
        <v>17</v>
      </c>
      <c r="B24" s="15" t="s">
        <v>151</v>
      </c>
      <c r="C24" s="17" t="s">
        <v>625</v>
      </c>
      <c r="D24" s="48" t="s">
        <v>621</v>
      </c>
      <c r="H24" s="16"/>
    </row>
    <row r="25" spans="1:8" ht="15" customHeight="1">
      <c r="A25" s="14">
        <f t="shared" si="0"/>
        <v>18</v>
      </c>
      <c r="B25" s="15" t="s">
        <v>151</v>
      </c>
      <c r="C25" s="17" t="s">
        <v>626</v>
      </c>
      <c r="D25" s="48" t="s">
        <v>636</v>
      </c>
      <c r="H25" s="16"/>
    </row>
    <row r="26" spans="1:8" ht="15" customHeight="1">
      <c r="A26" s="14">
        <f t="shared" si="0"/>
        <v>19</v>
      </c>
      <c r="B26" s="15" t="s">
        <v>151</v>
      </c>
      <c r="C26" s="17" t="s">
        <v>627</v>
      </c>
      <c r="D26" s="48" t="s">
        <v>637</v>
      </c>
      <c r="H26" s="16"/>
    </row>
    <row r="27" spans="1:8" ht="15" customHeight="1">
      <c r="A27" s="14">
        <f t="shared" si="0"/>
        <v>20</v>
      </c>
      <c r="B27" s="15" t="s">
        <v>151</v>
      </c>
      <c r="C27" s="17" t="s">
        <v>628</v>
      </c>
      <c r="D27" s="47" t="s">
        <v>15</v>
      </c>
    </row>
    <row r="28" spans="1:8" ht="15" customHeight="1">
      <c r="A28" s="14">
        <f t="shared" ref="A28:A36" si="1">A27+1</f>
        <v>21</v>
      </c>
      <c r="B28" s="15" t="s">
        <v>151</v>
      </c>
      <c r="C28" s="17" t="s">
        <v>629</v>
      </c>
      <c r="D28" s="48" t="s">
        <v>73</v>
      </c>
    </row>
    <row r="29" spans="1:8" ht="15" customHeight="1">
      <c r="A29" s="14">
        <f t="shared" si="1"/>
        <v>22</v>
      </c>
      <c r="B29" s="15" t="s">
        <v>151</v>
      </c>
      <c r="C29" s="17" t="s">
        <v>630</v>
      </c>
      <c r="D29" s="48" t="s">
        <v>16</v>
      </c>
    </row>
    <row r="30" spans="1:8" ht="15" customHeight="1">
      <c r="A30" s="14">
        <f t="shared" si="1"/>
        <v>23</v>
      </c>
      <c r="B30" s="15" t="s">
        <v>151</v>
      </c>
      <c r="C30" s="17" t="s">
        <v>631</v>
      </c>
      <c r="D30" s="48" t="s">
        <v>278</v>
      </c>
    </row>
    <row r="31" spans="1:8" ht="15" customHeight="1">
      <c r="A31" s="14">
        <f t="shared" si="1"/>
        <v>24</v>
      </c>
      <c r="B31" s="15" t="s">
        <v>151</v>
      </c>
      <c r="C31" s="17" t="s">
        <v>632</v>
      </c>
      <c r="D31" s="47" t="s">
        <v>110</v>
      </c>
    </row>
    <row r="32" spans="1:8" ht="15" customHeight="1">
      <c r="A32" s="14">
        <f t="shared" si="1"/>
        <v>25</v>
      </c>
      <c r="B32" s="15" t="s">
        <v>151</v>
      </c>
      <c r="C32" s="17" t="s">
        <v>633</v>
      </c>
      <c r="D32" s="47" t="s">
        <v>127</v>
      </c>
    </row>
    <row r="33" spans="1:4" ht="15" customHeight="1">
      <c r="A33" s="14">
        <f t="shared" si="1"/>
        <v>26</v>
      </c>
      <c r="B33" s="15" t="s">
        <v>151</v>
      </c>
      <c r="C33" s="17" t="s">
        <v>634</v>
      </c>
      <c r="D33" s="47" t="s">
        <v>1</v>
      </c>
    </row>
    <row r="34" spans="1:4" ht="15" customHeight="1">
      <c r="A34" s="14">
        <f t="shared" si="1"/>
        <v>27</v>
      </c>
      <c r="B34" s="15" t="s">
        <v>151</v>
      </c>
      <c r="C34" s="17" t="s">
        <v>635</v>
      </c>
      <c r="D34" s="47" t="s">
        <v>287</v>
      </c>
    </row>
    <row r="35" spans="1:4" ht="15" customHeight="1">
      <c r="A35" s="14">
        <f t="shared" si="1"/>
        <v>28</v>
      </c>
      <c r="B35" s="15" t="s">
        <v>151</v>
      </c>
      <c r="C35" s="17" t="s">
        <v>674</v>
      </c>
      <c r="D35" s="47" t="s">
        <v>676</v>
      </c>
    </row>
    <row r="36" spans="1:4" ht="15" customHeight="1">
      <c r="A36" s="14">
        <f t="shared" si="1"/>
        <v>29</v>
      </c>
      <c r="B36" s="15" t="s">
        <v>151</v>
      </c>
      <c r="C36" s="17" t="s">
        <v>675</v>
      </c>
      <c r="D36" s="47" t="s">
        <v>668</v>
      </c>
    </row>
    <row r="38" spans="1:4" ht="12" customHeight="1">
      <c r="A38" s="19" t="s">
        <v>121</v>
      </c>
    </row>
    <row r="40" spans="1:4" ht="12" customHeight="1">
      <c r="A40" s="18" t="s">
        <v>3</v>
      </c>
      <c r="B40" s="10" t="s">
        <v>4</v>
      </c>
    </row>
    <row r="41" spans="1:4" ht="12" customHeight="1">
      <c r="A41" s="18" t="s">
        <v>5</v>
      </c>
      <c r="B41" s="10" t="s">
        <v>6</v>
      </c>
    </row>
    <row r="43" spans="1:4" ht="12" customHeight="1">
      <c r="B43" s="20"/>
    </row>
    <row r="44" spans="1:4" ht="12" customHeight="1">
      <c r="B44" s="20"/>
    </row>
    <row r="45" spans="1:4" ht="12" customHeight="1">
      <c r="B45" s="20"/>
    </row>
  </sheetData>
  <mergeCells count="6">
    <mergeCell ref="A6:D6"/>
    <mergeCell ref="A1:D1"/>
    <mergeCell ref="A5:D5"/>
    <mergeCell ref="A2:C2"/>
    <mergeCell ref="A3:C3"/>
    <mergeCell ref="A4:D4"/>
  </mergeCells>
  <phoneticPr fontId="0" type="noConversion"/>
  <pageMargins left="0.9" right="0.36" top="1" bottom="1" header="0.5" footer="0.5"/>
  <pageSetup paperSize="9" scale="89" orientation="portrait" r:id="rId1"/>
  <headerFooter alignWithMargins="0">
    <oddFooter>&amp;LTariff Petition for determination of tariff for FY 2015-16, approval of estimate for 2014-15 and truing up for  FY 2012-13 to FY 2013-14 for RPH</oddFooter>
  </headerFooter>
</worksheet>
</file>

<file path=xl/worksheets/sheet10.xml><?xml version="1.0" encoding="utf-8"?>
<worksheet xmlns="http://schemas.openxmlformats.org/spreadsheetml/2006/main" xmlns:r="http://schemas.openxmlformats.org/officeDocument/2006/relationships">
  <sheetPr enableFormatConditionsCalculation="0">
    <tabColor indexed="50"/>
  </sheetPr>
  <dimension ref="A1:H101"/>
  <sheetViews>
    <sheetView showGridLines="0" topLeftCell="A37" zoomScaleSheetLayoutView="75" workbookViewId="0">
      <selection activeCell="C9" sqref="C9:G49"/>
    </sheetView>
  </sheetViews>
  <sheetFormatPr defaultRowHeight="12.75"/>
  <cols>
    <col min="1" max="1" width="6.140625" style="132" bestFit="1" customWidth="1"/>
    <col min="2" max="2" width="55.140625" style="10" bestFit="1"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0"/>
  </cols>
  <sheetData>
    <row r="1" spans="1:8">
      <c r="A1" s="72"/>
      <c r="B1" s="105"/>
    </row>
    <row r="2" spans="1:8">
      <c r="A2" s="400" t="str">
        <f>Index!A2:C2</f>
        <v>Name of Company:</v>
      </c>
      <c r="B2" s="400"/>
      <c r="C2" s="401" t="str">
        <f>Index!D2</f>
        <v>INDRAPRASTHA POWER GENERATION COMPANY LIMITED</v>
      </c>
      <c r="D2" s="401"/>
      <c r="E2" s="401"/>
      <c r="F2" s="401"/>
      <c r="G2" s="401"/>
    </row>
    <row r="3" spans="1:8">
      <c r="A3" s="400" t="str">
        <f>Index!A3:C3</f>
        <v>Name of Plant/  Station:</v>
      </c>
      <c r="B3" s="400"/>
      <c r="C3" s="401" t="str">
        <f>Index!D3</f>
        <v>Rajghat Power House</v>
      </c>
      <c r="D3" s="401"/>
      <c r="E3" s="401"/>
      <c r="F3" s="401"/>
      <c r="G3" s="401"/>
    </row>
    <row r="4" spans="1:8">
      <c r="A4" s="72"/>
      <c r="B4" s="105"/>
    </row>
    <row r="5" spans="1:8" ht="12.75" customHeight="1">
      <c r="A5" s="429" t="str">
        <f>Index!D16</f>
        <v>Break-up of Capital Cost for Coal/ Lignite based projects</v>
      </c>
      <c r="B5" s="429"/>
      <c r="C5" s="429"/>
      <c r="D5" s="429"/>
      <c r="E5" s="429"/>
      <c r="F5" s="52" t="s">
        <v>156</v>
      </c>
      <c r="G5" s="52" t="str">
        <f>Index!C16</f>
        <v>F9</v>
      </c>
    </row>
    <row r="6" spans="1:8">
      <c r="A6" s="133"/>
      <c r="B6" s="134"/>
      <c r="C6" s="134"/>
      <c r="G6" s="10" t="s">
        <v>683</v>
      </c>
    </row>
    <row r="7" spans="1:8" s="148" customFormat="1" ht="40.5" customHeight="1">
      <c r="A7" s="67" t="s">
        <v>509</v>
      </c>
      <c r="B7" s="146" t="s">
        <v>398</v>
      </c>
      <c r="C7" s="146" t="s">
        <v>514</v>
      </c>
      <c r="D7" s="146" t="s">
        <v>513</v>
      </c>
      <c r="E7" s="146" t="s">
        <v>517</v>
      </c>
      <c r="F7" s="146" t="s">
        <v>530</v>
      </c>
      <c r="G7" s="146" t="s">
        <v>399</v>
      </c>
      <c r="H7" s="147"/>
    </row>
    <row r="8" spans="1:8" s="148" customFormat="1">
      <c r="A8" s="67"/>
      <c r="B8" s="146" t="s">
        <v>19</v>
      </c>
      <c r="C8" s="146" t="s">
        <v>20</v>
      </c>
      <c r="D8" s="146" t="s">
        <v>21</v>
      </c>
      <c r="E8" s="146" t="s">
        <v>7</v>
      </c>
      <c r="F8" s="146" t="s">
        <v>61</v>
      </c>
      <c r="G8" s="146" t="s">
        <v>288</v>
      </c>
      <c r="H8" s="147"/>
    </row>
    <row r="9" spans="1:8" ht="12.75" customHeight="1">
      <c r="A9" s="136">
        <v>1</v>
      </c>
      <c r="B9" s="115" t="s">
        <v>400</v>
      </c>
      <c r="C9" s="431" t="s">
        <v>744</v>
      </c>
      <c r="D9" s="431"/>
      <c r="E9" s="431"/>
      <c r="F9" s="431"/>
      <c r="G9" s="431"/>
    </row>
    <row r="10" spans="1:8" ht="12.75" customHeight="1">
      <c r="A10" s="136">
        <v>1.1000000000000001</v>
      </c>
      <c r="B10" s="114" t="s">
        <v>401</v>
      </c>
      <c r="C10" s="431"/>
      <c r="D10" s="431"/>
      <c r="E10" s="431"/>
      <c r="F10" s="431"/>
      <c r="G10" s="431"/>
    </row>
    <row r="11" spans="1:8" ht="12.75" customHeight="1">
      <c r="A11" s="136">
        <v>1.2</v>
      </c>
      <c r="B11" s="112" t="s">
        <v>402</v>
      </c>
      <c r="C11" s="431"/>
      <c r="D11" s="431"/>
      <c r="E11" s="431"/>
      <c r="F11" s="431"/>
      <c r="G11" s="431"/>
    </row>
    <row r="12" spans="1:8" ht="12.75" customHeight="1">
      <c r="A12" s="136">
        <v>1.3</v>
      </c>
      <c r="B12" s="112" t="s">
        <v>403</v>
      </c>
      <c r="C12" s="431"/>
      <c r="D12" s="431"/>
      <c r="E12" s="431"/>
      <c r="F12" s="431"/>
      <c r="G12" s="431"/>
    </row>
    <row r="13" spans="1:8" ht="12.75" customHeight="1">
      <c r="A13" s="136"/>
      <c r="B13" s="113" t="s">
        <v>404</v>
      </c>
      <c r="C13" s="431"/>
      <c r="D13" s="431"/>
      <c r="E13" s="431"/>
      <c r="F13" s="431"/>
      <c r="G13" s="431"/>
    </row>
    <row r="14" spans="1:8" ht="12.75" customHeight="1">
      <c r="A14" s="136"/>
      <c r="B14" s="113"/>
      <c r="C14" s="431"/>
      <c r="D14" s="431"/>
      <c r="E14" s="431"/>
      <c r="F14" s="431"/>
      <c r="G14" s="431"/>
    </row>
    <row r="15" spans="1:8" ht="12.75" customHeight="1">
      <c r="A15" s="137">
        <v>2</v>
      </c>
      <c r="B15" s="113" t="s">
        <v>405</v>
      </c>
      <c r="C15" s="431"/>
      <c r="D15" s="431"/>
      <c r="E15" s="431"/>
      <c r="F15" s="431"/>
      <c r="G15" s="431"/>
    </row>
    <row r="16" spans="1:8" ht="12.75" customHeight="1">
      <c r="A16" s="136">
        <v>2.1</v>
      </c>
      <c r="B16" s="112" t="s">
        <v>406</v>
      </c>
      <c r="C16" s="431"/>
      <c r="D16" s="431"/>
      <c r="E16" s="431"/>
      <c r="F16" s="431"/>
      <c r="G16" s="431"/>
    </row>
    <row r="17" spans="1:7" ht="12.75" customHeight="1">
      <c r="A17" s="138">
        <v>2.2000000000000002</v>
      </c>
      <c r="B17" s="112" t="s">
        <v>407</v>
      </c>
      <c r="C17" s="431"/>
      <c r="D17" s="431"/>
      <c r="E17" s="431"/>
      <c r="F17" s="431"/>
      <c r="G17" s="431"/>
    </row>
    <row r="18" spans="1:7" ht="12.75" customHeight="1">
      <c r="A18" s="138">
        <v>2.2999999999999998</v>
      </c>
      <c r="B18" s="112" t="s">
        <v>408</v>
      </c>
      <c r="C18" s="431"/>
      <c r="D18" s="431"/>
      <c r="E18" s="431"/>
      <c r="F18" s="431"/>
      <c r="G18" s="431"/>
    </row>
    <row r="19" spans="1:7" ht="12.75" customHeight="1">
      <c r="A19" s="138" t="s">
        <v>409</v>
      </c>
      <c r="B19" s="139" t="s">
        <v>410</v>
      </c>
      <c r="C19" s="431"/>
      <c r="D19" s="431"/>
      <c r="E19" s="431"/>
      <c r="F19" s="431"/>
      <c r="G19" s="431"/>
    </row>
    <row r="20" spans="1:7" ht="12.75" customHeight="1">
      <c r="A20" s="138" t="s">
        <v>411</v>
      </c>
      <c r="B20" s="139" t="s">
        <v>412</v>
      </c>
      <c r="C20" s="431"/>
      <c r="D20" s="431"/>
      <c r="E20" s="431"/>
      <c r="F20" s="431"/>
      <c r="G20" s="431"/>
    </row>
    <row r="21" spans="1:7" ht="12.75" customHeight="1">
      <c r="A21" s="138" t="s">
        <v>413</v>
      </c>
      <c r="B21" s="139" t="s">
        <v>414</v>
      </c>
      <c r="C21" s="431"/>
      <c r="D21" s="431"/>
      <c r="E21" s="431"/>
      <c r="F21" s="431"/>
      <c r="G21" s="431"/>
    </row>
    <row r="22" spans="1:7" ht="12.75" customHeight="1">
      <c r="A22" s="138" t="s">
        <v>415</v>
      </c>
      <c r="B22" s="139" t="s">
        <v>416</v>
      </c>
      <c r="C22" s="431"/>
      <c r="D22" s="431"/>
      <c r="E22" s="431"/>
      <c r="F22" s="431"/>
      <c r="G22" s="431"/>
    </row>
    <row r="23" spans="1:7" ht="12.75" customHeight="1">
      <c r="A23" s="138" t="s">
        <v>417</v>
      </c>
      <c r="B23" s="139" t="s">
        <v>418</v>
      </c>
      <c r="C23" s="431"/>
      <c r="D23" s="431"/>
      <c r="E23" s="431"/>
      <c r="F23" s="431"/>
      <c r="G23" s="431"/>
    </row>
    <row r="24" spans="1:7" ht="12.75" customHeight="1">
      <c r="A24" s="138" t="s">
        <v>419</v>
      </c>
      <c r="B24" s="139" t="s">
        <v>518</v>
      </c>
      <c r="C24" s="431"/>
      <c r="D24" s="431"/>
      <c r="E24" s="431"/>
      <c r="F24" s="431"/>
      <c r="G24" s="431"/>
    </row>
    <row r="25" spans="1:7" ht="12.75" customHeight="1">
      <c r="A25" s="138" t="s">
        <v>420</v>
      </c>
      <c r="B25" s="139" t="s">
        <v>421</v>
      </c>
      <c r="C25" s="431"/>
      <c r="D25" s="431"/>
      <c r="E25" s="431"/>
      <c r="F25" s="431"/>
      <c r="G25" s="431"/>
    </row>
    <row r="26" spans="1:7" ht="12.75" customHeight="1">
      <c r="A26" s="138" t="s">
        <v>422</v>
      </c>
      <c r="B26" s="139" t="s">
        <v>423</v>
      </c>
      <c r="C26" s="431"/>
      <c r="D26" s="431"/>
      <c r="E26" s="431"/>
      <c r="F26" s="431"/>
      <c r="G26" s="431"/>
    </row>
    <row r="27" spans="1:7" ht="12.75" customHeight="1">
      <c r="A27" s="138" t="s">
        <v>424</v>
      </c>
      <c r="B27" s="139" t="s">
        <v>425</v>
      </c>
      <c r="C27" s="431"/>
      <c r="D27" s="431"/>
      <c r="E27" s="431"/>
      <c r="F27" s="431"/>
      <c r="G27" s="431"/>
    </row>
    <row r="28" spans="1:7" ht="12.75" customHeight="1">
      <c r="A28" s="138" t="s">
        <v>426</v>
      </c>
      <c r="B28" s="139" t="s">
        <v>427</v>
      </c>
      <c r="C28" s="431"/>
      <c r="D28" s="431"/>
      <c r="E28" s="431"/>
      <c r="F28" s="431"/>
      <c r="G28" s="431"/>
    </row>
    <row r="29" spans="1:7" ht="12.75" customHeight="1">
      <c r="A29" s="138" t="s">
        <v>428</v>
      </c>
      <c r="B29" s="139" t="s">
        <v>429</v>
      </c>
      <c r="C29" s="431"/>
      <c r="D29" s="431"/>
      <c r="E29" s="431"/>
      <c r="F29" s="431"/>
      <c r="G29" s="431"/>
    </row>
    <row r="30" spans="1:7" ht="12.75" customHeight="1">
      <c r="A30" s="138" t="s">
        <v>430</v>
      </c>
      <c r="B30" s="140" t="s">
        <v>431</v>
      </c>
      <c r="C30" s="431"/>
      <c r="D30" s="431"/>
      <c r="E30" s="431"/>
      <c r="F30" s="431"/>
      <c r="G30" s="431"/>
    </row>
    <row r="31" spans="1:7" ht="12.75" customHeight="1">
      <c r="A31" s="138" t="s">
        <v>432</v>
      </c>
      <c r="B31" s="140" t="s">
        <v>433</v>
      </c>
      <c r="C31" s="431"/>
      <c r="D31" s="431"/>
      <c r="E31" s="431"/>
      <c r="F31" s="431"/>
      <c r="G31" s="431"/>
    </row>
    <row r="32" spans="1:7" ht="12.75" customHeight="1">
      <c r="A32" s="138" t="s">
        <v>434</v>
      </c>
      <c r="B32" s="139" t="s">
        <v>435</v>
      </c>
      <c r="C32" s="431"/>
      <c r="D32" s="431"/>
      <c r="E32" s="431"/>
      <c r="F32" s="431"/>
      <c r="G32" s="431"/>
    </row>
    <row r="33" spans="1:7" ht="12.75" customHeight="1">
      <c r="A33" s="138"/>
      <c r="B33" s="135" t="s">
        <v>436</v>
      </c>
      <c r="C33" s="431"/>
      <c r="D33" s="431"/>
      <c r="E33" s="431"/>
      <c r="F33" s="431"/>
      <c r="G33" s="431"/>
    </row>
    <row r="34" spans="1:7" ht="12.75" customHeight="1">
      <c r="A34" s="138">
        <v>2.4</v>
      </c>
      <c r="B34" s="111" t="s">
        <v>437</v>
      </c>
      <c r="C34" s="431"/>
      <c r="D34" s="431"/>
      <c r="E34" s="431"/>
      <c r="F34" s="431"/>
      <c r="G34" s="431"/>
    </row>
    <row r="35" spans="1:7" ht="12.75" customHeight="1">
      <c r="A35" s="138" t="s">
        <v>438</v>
      </c>
      <c r="B35" s="141" t="s">
        <v>520</v>
      </c>
      <c r="C35" s="431"/>
      <c r="D35" s="431"/>
      <c r="E35" s="431"/>
      <c r="F35" s="431"/>
      <c r="G35" s="431"/>
    </row>
    <row r="36" spans="1:7" ht="12.75" customHeight="1">
      <c r="A36" s="138" t="s">
        <v>439</v>
      </c>
      <c r="B36" s="141" t="s">
        <v>521</v>
      </c>
      <c r="C36" s="431"/>
      <c r="D36" s="431"/>
      <c r="E36" s="431"/>
      <c r="F36" s="431"/>
      <c r="G36" s="431"/>
    </row>
    <row r="37" spans="1:7" ht="12.75" customHeight="1">
      <c r="A37" s="138" t="s">
        <v>440</v>
      </c>
      <c r="B37" s="141" t="s">
        <v>522</v>
      </c>
      <c r="C37" s="431"/>
      <c r="D37" s="431"/>
      <c r="E37" s="431"/>
      <c r="F37" s="431"/>
      <c r="G37" s="431"/>
    </row>
    <row r="38" spans="1:7" ht="12.75" customHeight="1">
      <c r="A38" s="138" t="s">
        <v>441</v>
      </c>
      <c r="B38" s="141" t="s">
        <v>523</v>
      </c>
      <c r="C38" s="431"/>
      <c r="D38" s="431"/>
      <c r="E38" s="431"/>
      <c r="F38" s="431"/>
      <c r="G38" s="431"/>
    </row>
    <row r="39" spans="1:7" ht="12.75" customHeight="1">
      <c r="A39" s="138" t="s">
        <v>442</v>
      </c>
      <c r="B39" s="141" t="s">
        <v>443</v>
      </c>
      <c r="C39" s="431"/>
      <c r="D39" s="431"/>
      <c r="E39" s="431"/>
      <c r="F39" s="431"/>
      <c r="G39" s="431"/>
    </row>
    <row r="40" spans="1:7" ht="12.75" customHeight="1">
      <c r="A40" s="138" t="s">
        <v>444</v>
      </c>
      <c r="B40" s="141" t="s">
        <v>524</v>
      </c>
      <c r="C40" s="431"/>
      <c r="D40" s="431"/>
      <c r="E40" s="431"/>
      <c r="F40" s="431"/>
      <c r="G40" s="431"/>
    </row>
    <row r="41" spans="1:7" ht="12.75" customHeight="1">
      <c r="A41" s="138"/>
      <c r="B41" s="135" t="s">
        <v>445</v>
      </c>
      <c r="C41" s="431"/>
      <c r="D41" s="431"/>
      <c r="E41" s="431"/>
      <c r="F41" s="431"/>
      <c r="G41" s="431"/>
    </row>
    <row r="42" spans="1:7" ht="12.75" customHeight="1">
      <c r="A42" s="138">
        <v>2.5</v>
      </c>
      <c r="B42" s="111" t="s">
        <v>495</v>
      </c>
      <c r="C42" s="431"/>
      <c r="D42" s="431"/>
      <c r="E42" s="431"/>
      <c r="F42" s="431"/>
      <c r="G42" s="431"/>
    </row>
    <row r="43" spans="1:7" ht="12.75" customHeight="1">
      <c r="A43" s="138"/>
      <c r="B43" s="135" t="s">
        <v>515</v>
      </c>
      <c r="C43" s="431"/>
      <c r="D43" s="431"/>
      <c r="E43" s="431"/>
      <c r="F43" s="431"/>
      <c r="G43" s="431"/>
    </row>
    <row r="44" spans="1:7" ht="12.75" customHeight="1">
      <c r="A44" s="138">
        <v>2.6</v>
      </c>
      <c r="B44" s="111" t="s">
        <v>446</v>
      </c>
      <c r="C44" s="431"/>
      <c r="D44" s="431"/>
      <c r="E44" s="431"/>
      <c r="F44" s="431"/>
      <c r="G44" s="431"/>
    </row>
    <row r="45" spans="1:7" ht="12.75" customHeight="1">
      <c r="A45" s="138" t="s">
        <v>447</v>
      </c>
      <c r="B45" s="141" t="s">
        <v>448</v>
      </c>
      <c r="C45" s="431"/>
      <c r="D45" s="431"/>
      <c r="E45" s="431"/>
      <c r="F45" s="431"/>
      <c r="G45" s="431"/>
    </row>
    <row r="46" spans="1:7" ht="12.75" customHeight="1">
      <c r="A46" s="138" t="s">
        <v>449</v>
      </c>
      <c r="B46" s="141" t="s">
        <v>450</v>
      </c>
      <c r="C46" s="431"/>
      <c r="D46" s="431"/>
      <c r="E46" s="431"/>
      <c r="F46" s="431"/>
      <c r="G46" s="431"/>
    </row>
    <row r="47" spans="1:7" ht="12.75" customHeight="1">
      <c r="A47" s="138"/>
      <c r="B47" s="135" t="s">
        <v>451</v>
      </c>
      <c r="C47" s="431"/>
      <c r="D47" s="431"/>
      <c r="E47" s="431"/>
      <c r="F47" s="431"/>
      <c r="G47" s="431"/>
    </row>
    <row r="48" spans="1:7" ht="12.75" customHeight="1">
      <c r="A48" s="138"/>
      <c r="B48" s="135" t="s">
        <v>452</v>
      </c>
      <c r="C48" s="431"/>
      <c r="D48" s="431"/>
      <c r="E48" s="431"/>
      <c r="F48" s="431"/>
      <c r="G48" s="431"/>
    </row>
    <row r="49" spans="1:7" ht="12.75" customHeight="1">
      <c r="A49" s="138"/>
      <c r="B49" s="135"/>
      <c r="C49" s="431"/>
      <c r="D49" s="431"/>
      <c r="E49" s="431"/>
      <c r="F49" s="431"/>
      <c r="G49" s="431"/>
    </row>
    <row r="50" spans="1:7" ht="12.75" customHeight="1">
      <c r="A50" s="143">
        <v>3</v>
      </c>
      <c r="B50" s="135" t="s">
        <v>453</v>
      </c>
      <c r="C50" s="431" t="s">
        <v>744</v>
      </c>
      <c r="D50" s="431"/>
      <c r="E50" s="431"/>
      <c r="F50" s="431"/>
      <c r="G50" s="431"/>
    </row>
    <row r="51" spans="1:7" ht="12.75" customHeight="1">
      <c r="A51" s="143"/>
      <c r="B51" s="135"/>
      <c r="C51" s="431"/>
      <c r="D51" s="431"/>
      <c r="E51" s="431"/>
      <c r="F51" s="431"/>
      <c r="G51" s="431"/>
    </row>
    <row r="52" spans="1:7" ht="12.75" customHeight="1">
      <c r="A52" s="143">
        <v>4</v>
      </c>
      <c r="B52" s="135" t="s">
        <v>48</v>
      </c>
      <c r="C52" s="431"/>
      <c r="D52" s="431"/>
      <c r="E52" s="431"/>
      <c r="F52" s="431"/>
      <c r="G52" s="431"/>
    </row>
    <row r="53" spans="1:7" ht="12.75" customHeight="1">
      <c r="A53" s="138">
        <v>4.0999999999999996</v>
      </c>
      <c r="B53" s="144" t="s">
        <v>454</v>
      </c>
      <c r="C53" s="431"/>
      <c r="D53" s="431"/>
      <c r="E53" s="431"/>
      <c r="F53" s="431"/>
      <c r="G53" s="431"/>
    </row>
    <row r="54" spans="1:7" ht="12.75" customHeight="1">
      <c r="A54" s="138">
        <v>4.2</v>
      </c>
      <c r="B54" s="144" t="s">
        <v>412</v>
      </c>
      <c r="C54" s="431"/>
      <c r="D54" s="431"/>
      <c r="E54" s="431"/>
      <c r="F54" s="431"/>
      <c r="G54" s="431"/>
    </row>
    <row r="55" spans="1:7" ht="12.75" customHeight="1">
      <c r="A55" s="138">
        <v>4.3</v>
      </c>
      <c r="B55" s="144" t="s">
        <v>455</v>
      </c>
      <c r="C55" s="431"/>
      <c r="D55" s="431"/>
      <c r="E55" s="431"/>
      <c r="F55" s="431"/>
      <c r="G55" s="431"/>
    </row>
    <row r="56" spans="1:7" ht="12.75" customHeight="1">
      <c r="A56" s="138">
        <v>4.4000000000000004</v>
      </c>
      <c r="B56" s="144" t="s">
        <v>414</v>
      </c>
      <c r="C56" s="431"/>
      <c r="D56" s="431"/>
      <c r="E56" s="431"/>
      <c r="F56" s="431"/>
      <c r="G56" s="431"/>
    </row>
    <row r="57" spans="1:7" ht="12.75" customHeight="1">
      <c r="A57" s="138">
        <v>4.5</v>
      </c>
      <c r="B57" s="144" t="s">
        <v>416</v>
      </c>
      <c r="C57" s="431"/>
      <c r="D57" s="431"/>
      <c r="E57" s="431"/>
      <c r="F57" s="431"/>
      <c r="G57" s="431"/>
    </row>
    <row r="58" spans="1:7" ht="12.75" customHeight="1">
      <c r="A58" s="138">
        <v>4.5999999999999996</v>
      </c>
      <c r="B58" s="144" t="s">
        <v>456</v>
      </c>
      <c r="C58" s="431"/>
      <c r="D58" s="431"/>
      <c r="E58" s="431"/>
      <c r="F58" s="431"/>
      <c r="G58" s="431"/>
    </row>
    <row r="59" spans="1:7" ht="12.75" customHeight="1">
      <c r="A59" s="138">
        <v>4.7</v>
      </c>
      <c r="B59" s="144" t="s">
        <v>518</v>
      </c>
      <c r="C59" s="431"/>
      <c r="D59" s="431"/>
      <c r="E59" s="431"/>
      <c r="F59" s="431"/>
      <c r="G59" s="431"/>
    </row>
    <row r="60" spans="1:7" ht="12.75" customHeight="1">
      <c r="A60" s="138">
        <v>4.8</v>
      </c>
      <c r="B60" s="144" t="s">
        <v>423</v>
      </c>
      <c r="C60" s="431"/>
      <c r="D60" s="431"/>
      <c r="E60" s="431"/>
      <c r="F60" s="431"/>
      <c r="G60" s="431"/>
    </row>
    <row r="61" spans="1:7" ht="12.75" customHeight="1">
      <c r="A61" s="138">
        <v>4.9000000000000004</v>
      </c>
      <c r="B61" s="144" t="s">
        <v>457</v>
      </c>
      <c r="C61" s="431"/>
      <c r="D61" s="431"/>
      <c r="E61" s="431"/>
      <c r="F61" s="431"/>
      <c r="G61" s="431"/>
    </row>
    <row r="62" spans="1:7" ht="12.75" customHeight="1">
      <c r="A62" s="142">
        <v>4.0999999999999996</v>
      </c>
      <c r="B62" s="144" t="s">
        <v>421</v>
      </c>
      <c r="C62" s="431"/>
      <c r="D62" s="431"/>
      <c r="E62" s="431"/>
      <c r="F62" s="431"/>
      <c r="G62" s="431"/>
    </row>
    <row r="63" spans="1:7" ht="12.75" customHeight="1">
      <c r="A63" s="138">
        <v>4.1100000000000003</v>
      </c>
      <c r="B63" s="144" t="s">
        <v>458</v>
      </c>
      <c r="C63" s="431"/>
      <c r="D63" s="431"/>
      <c r="E63" s="431"/>
      <c r="F63" s="431"/>
      <c r="G63" s="431"/>
    </row>
    <row r="64" spans="1:7" ht="12.75" customHeight="1">
      <c r="A64" s="138">
        <v>4.12</v>
      </c>
      <c r="B64" s="144" t="s">
        <v>433</v>
      </c>
      <c r="C64" s="431"/>
      <c r="D64" s="431"/>
      <c r="E64" s="431"/>
      <c r="F64" s="431"/>
      <c r="G64" s="431"/>
    </row>
    <row r="65" spans="1:7" ht="12.75" customHeight="1">
      <c r="A65" s="138">
        <v>4.13</v>
      </c>
      <c r="B65" s="144" t="s">
        <v>459</v>
      </c>
      <c r="C65" s="431"/>
      <c r="D65" s="431"/>
      <c r="E65" s="431"/>
      <c r="F65" s="431"/>
      <c r="G65" s="431"/>
    </row>
    <row r="66" spans="1:7" ht="12.75" customHeight="1">
      <c r="A66" s="138">
        <v>4.1399999999999997</v>
      </c>
      <c r="B66" s="144" t="s">
        <v>460</v>
      </c>
      <c r="C66" s="431"/>
      <c r="D66" s="431"/>
      <c r="E66" s="431"/>
      <c r="F66" s="431"/>
      <c r="G66" s="431"/>
    </row>
    <row r="67" spans="1:7" ht="12.75" customHeight="1">
      <c r="A67" s="138">
        <v>4.1500000000000004</v>
      </c>
      <c r="B67" s="144" t="s">
        <v>461</v>
      </c>
      <c r="C67" s="431"/>
      <c r="D67" s="431"/>
      <c r="E67" s="431"/>
      <c r="F67" s="431"/>
      <c r="G67" s="431"/>
    </row>
    <row r="68" spans="1:7" ht="12.75" customHeight="1">
      <c r="A68" s="143"/>
      <c r="B68" s="135" t="s">
        <v>462</v>
      </c>
      <c r="C68" s="431"/>
      <c r="D68" s="431"/>
      <c r="E68" s="431"/>
      <c r="F68" s="431"/>
      <c r="G68" s="431"/>
    </row>
    <row r="69" spans="1:7" ht="12.75" customHeight="1">
      <c r="A69" s="138"/>
      <c r="B69" s="111"/>
      <c r="C69" s="431"/>
      <c r="D69" s="431"/>
      <c r="E69" s="431"/>
      <c r="F69" s="431"/>
      <c r="G69" s="431"/>
    </row>
    <row r="70" spans="1:7" ht="12.75" customHeight="1">
      <c r="A70" s="143">
        <v>5</v>
      </c>
      <c r="B70" s="135" t="s">
        <v>519</v>
      </c>
      <c r="C70" s="431"/>
      <c r="D70" s="431"/>
      <c r="E70" s="431"/>
      <c r="F70" s="431"/>
      <c r="G70" s="431"/>
    </row>
    <row r="71" spans="1:7" ht="12.75" customHeight="1">
      <c r="A71" s="138">
        <v>5.0999999999999996</v>
      </c>
      <c r="B71" s="144" t="s">
        <v>463</v>
      </c>
      <c r="C71" s="431"/>
      <c r="D71" s="431"/>
      <c r="E71" s="431"/>
      <c r="F71" s="431"/>
      <c r="G71" s="431"/>
    </row>
    <row r="72" spans="1:7" ht="12.75" customHeight="1">
      <c r="A72" s="138">
        <v>5.2</v>
      </c>
      <c r="B72" s="144" t="s">
        <v>464</v>
      </c>
      <c r="C72" s="431"/>
      <c r="D72" s="431"/>
      <c r="E72" s="431"/>
      <c r="F72" s="431"/>
      <c r="G72" s="431"/>
    </row>
    <row r="73" spans="1:7" ht="12.75" customHeight="1">
      <c r="A73" s="138">
        <v>5.3</v>
      </c>
      <c r="B73" s="144" t="s">
        <v>465</v>
      </c>
      <c r="C73" s="431"/>
      <c r="D73" s="431"/>
      <c r="E73" s="431"/>
      <c r="F73" s="431"/>
      <c r="G73" s="431"/>
    </row>
    <row r="74" spans="1:7" ht="12.75" customHeight="1">
      <c r="A74" s="138">
        <v>5.4</v>
      </c>
      <c r="B74" s="144" t="s">
        <v>466</v>
      </c>
      <c r="C74" s="431"/>
      <c r="D74" s="431"/>
      <c r="E74" s="431"/>
      <c r="F74" s="431"/>
      <c r="G74" s="431"/>
    </row>
    <row r="75" spans="1:7" ht="12.75" customHeight="1">
      <c r="A75" s="138">
        <v>5.5</v>
      </c>
      <c r="B75" s="144" t="s">
        <v>467</v>
      </c>
      <c r="C75" s="431"/>
      <c r="D75" s="431"/>
      <c r="E75" s="431"/>
      <c r="F75" s="431"/>
      <c r="G75" s="431"/>
    </row>
    <row r="76" spans="1:7" ht="12.75" customHeight="1">
      <c r="A76" s="138">
        <v>5.6</v>
      </c>
      <c r="B76" s="144" t="s">
        <v>468</v>
      </c>
      <c r="C76" s="431"/>
      <c r="D76" s="431"/>
      <c r="E76" s="431"/>
      <c r="F76" s="431"/>
      <c r="G76" s="431"/>
    </row>
    <row r="77" spans="1:7" ht="12.75" customHeight="1">
      <c r="A77" s="143"/>
      <c r="B77" s="135" t="s">
        <v>516</v>
      </c>
      <c r="C77" s="431"/>
      <c r="D77" s="431"/>
      <c r="E77" s="431"/>
      <c r="F77" s="431"/>
      <c r="G77" s="431"/>
    </row>
    <row r="78" spans="1:7" ht="12.75" customHeight="1">
      <c r="A78" s="143"/>
      <c r="B78" s="135"/>
      <c r="C78" s="431"/>
      <c r="D78" s="431"/>
      <c r="E78" s="431"/>
      <c r="F78" s="431"/>
      <c r="G78" s="431"/>
    </row>
    <row r="79" spans="1:7" ht="12.75" customHeight="1">
      <c r="A79" s="143">
        <v>6</v>
      </c>
      <c r="B79" s="135" t="s">
        <v>469</v>
      </c>
      <c r="C79" s="431"/>
      <c r="D79" s="431"/>
      <c r="E79" s="431"/>
      <c r="F79" s="431"/>
      <c r="G79" s="431"/>
    </row>
    <row r="80" spans="1:7" ht="12.75" customHeight="1">
      <c r="A80" s="138">
        <v>6.1</v>
      </c>
      <c r="B80" s="144" t="s">
        <v>470</v>
      </c>
      <c r="C80" s="431"/>
      <c r="D80" s="431"/>
      <c r="E80" s="431"/>
      <c r="F80" s="431"/>
      <c r="G80" s="431"/>
    </row>
    <row r="81" spans="1:7" ht="12.75" customHeight="1">
      <c r="A81" s="138">
        <v>6.2</v>
      </c>
      <c r="B81" s="144" t="s">
        <v>471</v>
      </c>
      <c r="C81" s="431"/>
      <c r="D81" s="431"/>
      <c r="E81" s="431"/>
      <c r="F81" s="431"/>
      <c r="G81" s="431"/>
    </row>
    <row r="82" spans="1:7" ht="12.75" customHeight="1">
      <c r="A82" s="138">
        <v>6.3</v>
      </c>
      <c r="B82" s="144" t="s">
        <v>472</v>
      </c>
      <c r="C82" s="431"/>
      <c r="D82" s="431"/>
      <c r="E82" s="431"/>
      <c r="F82" s="431"/>
      <c r="G82" s="431"/>
    </row>
    <row r="83" spans="1:7" ht="12.75" customHeight="1">
      <c r="A83" s="138">
        <v>6.4</v>
      </c>
      <c r="B83" s="144" t="s">
        <v>473</v>
      </c>
      <c r="C83" s="431"/>
      <c r="D83" s="431"/>
      <c r="E83" s="431"/>
      <c r="F83" s="431"/>
      <c r="G83" s="431"/>
    </row>
    <row r="84" spans="1:7" ht="12.75" customHeight="1">
      <c r="A84" s="143"/>
      <c r="B84" s="135" t="s">
        <v>474</v>
      </c>
      <c r="C84" s="431"/>
      <c r="D84" s="431"/>
      <c r="E84" s="431"/>
      <c r="F84" s="431"/>
      <c r="G84" s="431"/>
    </row>
    <row r="85" spans="1:7" ht="12.75" customHeight="1">
      <c r="A85" s="138"/>
      <c r="B85" s="111"/>
      <c r="C85" s="431"/>
      <c r="D85" s="431"/>
      <c r="E85" s="431"/>
      <c r="F85" s="431"/>
      <c r="G85" s="431"/>
    </row>
    <row r="86" spans="1:7" ht="12.75" customHeight="1">
      <c r="A86" s="143">
        <v>7</v>
      </c>
      <c r="B86" s="135" t="s">
        <v>475</v>
      </c>
      <c r="C86" s="431"/>
      <c r="D86" s="431"/>
      <c r="E86" s="431"/>
      <c r="F86" s="431"/>
      <c r="G86" s="431"/>
    </row>
    <row r="87" spans="1:7" ht="12.75" customHeight="1">
      <c r="A87" s="138"/>
      <c r="B87" s="144"/>
      <c r="C87" s="431"/>
      <c r="D87" s="431"/>
      <c r="E87" s="431"/>
      <c r="F87" s="431"/>
      <c r="G87" s="431"/>
    </row>
    <row r="88" spans="1:7" ht="12.75" customHeight="1">
      <c r="A88" s="143">
        <v>8</v>
      </c>
      <c r="B88" s="145" t="s">
        <v>525</v>
      </c>
      <c r="C88" s="431"/>
      <c r="D88" s="431"/>
      <c r="E88" s="431"/>
      <c r="F88" s="431"/>
      <c r="G88" s="431"/>
    </row>
    <row r="89" spans="1:7" ht="12.75" customHeight="1">
      <c r="A89" s="138">
        <v>8.1</v>
      </c>
      <c r="B89" s="144" t="s">
        <v>476</v>
      </c>
      <c r="C89" s="431"/>
      <c r="D89" s="431"/>
      <c r="E89" s="431"/>
      <c r="F89" s="431"/>
      <c r="G89" s="431"/>
    </row>
    <row r="90" spans="1:7" ht="12.75" customHeight="1">
      <c r="A90" s="138">
        <v>8.1999999999999993</v>
      </c>
      <c r="B90" s="144" t="s">
        <v>477</v>
      </c>
      <c r="C90" s="431"/>
      <c r="D90" s="431"/>
      <c r="E90" s="431"/>
      <c r="F90" s="431"/>
      <c r="G90" s="431"/>
    </row>
    <row r="91" spans="1:7" ht="12.75" customHeight="1">
      <c r="A91" s="138">
        <v>8.3000000000000007</v>
      </c>
      <c r="B91" s="144" t="s">
        <v>526</v>
      </c>
      <c r="C91" s="431"/>
      <c r="D91" s="431"/>
      <c r="E91" s="431"/>
      <c r="F91" s="431"/>
      <c r="G91" s="431"/>
    </row>
    <row r="92" spans="1:7" ht="12.75" customHeight="1">
      <c r="A92" s="138">
        <v>8.4</v>
      </c>
      <c r="B92" s="144" t="s">
        <v>527</v>
      </c>
      <c r="C92" s="431"/>
      <c r="D92" s="431"/>
      <c r="E92" s="431"/>
      <c r="F92" s="431"/>
      <c r="G92" s="431"/>
    </row>
    <row r="93" spans="1:7" ht="12.75" customHeight="1">
      <c r="A93" s="138"/>
      <c r="B93" s="145" t="s">
        <v>528</v>
      </c>
      <c r="C93" s="431"/>
      <c r="D93" s="431"/>
      <c r="E93" s="431"/>
      <c r="F93" s="431"/>
      <c r="G93" s="431"/>
    </row>
    <row r="94" spans="1:7" ht="12.75" customHeight="1">
      <c r="A94" s="138"/>
      <c r="B94" s="144"/>
      <c r="C94" s="431"/>
      <c r="D94" s="431"/>
      <c r="E94" s="431"/>
      <c r="F94" s="431"/>
      <c r="G94" s="431"/>
    </row>
    <row r="95" spans="1:7" ht="12.75" customHeight="1">
      <c r="A95" s="143">
        <v>8</v>
      </c>
      <c r="B95" s="135" t="s">
        <v>529</v>
      </c>
      <c r="C95" s="431"/>
      <c r="D95" s="431"/>
      <c r="E95" s="431"/>
      <c r="F95" s="431"/>
      <c r="G95" s="431"/>
    </row>
    <row r="97" spans="2:7">
      <c r="B97" s="10" t="s">
        <v>478</v>
      </c>
    </row>
    <row r="98" spans="2:7" ht="27.75" customHeight="1">
      <c r="B98" s="430" t="s">
        <v>479</v>
      </c>
      <c r="C98" s="430"/>
      <c r="D98" s="430"/>
      <c r="E98" s="430"/>
      <c r="F98" s="430"/>
      <c r="G98" s="430"/>
    </row>
    <row r="101" spans="2:7">
      <c r="F101" s="117" t="s">
        <v>208</v>
      </c>
    </row>
  </sheetData>
  <mergeCells count="8">
    <mergeCell ref="B98:G98"/>
    <mergeCell ref="A5:E5"/>
    <mergeCell ref="A2:B2"/>
    <mergeCell ref="A3:B3"/>
    <mergeCell ref="C2:G2"/>
    <mergeCell ref="C3:G3"/>
    <mergeCell ref="C9:G49"/>
    <mergeCell ref="C50:G95"/>
  </mergeCells>
  <phoneticPr fontId="0" type="noConversion"/>
  <pageMargins left="0.9" right="0.36" top="1" bottom="1" header="0.5" footer="0.5"/>
  <pageSetup paperSize="9" scale="66" orientation="portrait" r:id="rId1"/>
  <headerFooter alignWithMargins="0">
    <oddFooter>&amp;LTariff Petition for determination of tariff for FY 2015-16, approval of estimate for 2014-15 and truing up for  FY 2012-13 to FY 2013-14 for RPH</oddFooter>
  </headerFooter>
  <rowBreaks count="1" manualBreakCount="1">
    <brk id="49" max="6" man="1"/>
  </rowBreaks>
</worksheet>
</file>

<file path=xl/worksheets/sheet11.xml><?xml version="1.0" encoding="utf-8"?>
<worksheet xmlns="http://schemas.openxmlformats.org/spreadsheetml/2006/main" xmlns:r="http://schemas.openxmlformats.org/officeDocument/2006/relationships">
  <sheetPr enableFormatConditionsCalculation="0">
    <tabColor indexed="50"/>
  </sheetPr>
  <dimension ref="A1:G94"/>
  <sheetViews>
    <sheetView showGridLines="0" topLeftCell="A31" zoomScaleSheetLayoutView="75" zoomScalePageLayoutView="55" workbookViewId="0">
      <selection activeCell="C9" sqref="C9:G46"/>
    </sheetView>
  </sheetViews>
  <sheetFormatPr defaultRowHeight="15"/>
  <cols>
    <col min="1" max="1" width="6.140625" style="132" bestFit="1" customWidth="1"/>
    <col min="2" max="2" width="55.140625" style="10" bestFit="1"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29"/>
  </cols>
  <sheetData>
    <row r="1" spans="1:7">
      <c r="A1" s="72"/>
      <c r="B1" s="105"/>
    </row>
    <row r="2" spans="1:7">
      <c r="A2" s="400" t="str">
        <f>Index!A2:C2</f>
        <v>Name of Company:</v>
      </c>
      <c r="B2" s="400"/>
      <c r="C2" s="401" t="str">
        <f>Index!D2</f>
        <v>INDRAPRASTHA POWER GENERATION COMPANY LIMITED</v>
      </c>
      <c r="D2" s="401"/>
      <c r="E2" s="401"/>
      <c r="F2" s="401"/>
      <c r="G2" s="401"/>
    </row>
    <row r="3" spans="1:7">
      <c r="A3" s="400" t="str">
        <f>Index!A3:C3</f>
        <v>Name of Plant/  Station:</v>
      </c>
      <c r="B3" s="400"/>
      <c r="C3" s="401" t="str">
        <f>Index!D3</f>
        <v>Rajghat Power House</v>
      </c>
      <c r="D3" s="401"/>
      <c r="E3" s="401"/>
      <c r="F3" s="401"/>
      <c r="G3" s="401"/>
    </row>
    <row r="4" spans="1:7">
      <c r="A4" s="72"/>
      <c r="B4" s="105"/>
    </row>
    <row r="5" spans="1:7">
      <c r="A5" s="429" t="str">
        <f>Index!D17</f>
        <v>Break-up of Capital Cost for Gas/ Liquid fuel based Projects</v>
      </c>
      <c r="B5" s="429"/>
      <c r="C5" s="429"/>
      <c r="D5" s="429"/>
      <c r="E5" s="429"/>
      <c r="F5" s="52" t="s">
        <v>156</v>
      </c>
      <c r="G5" s="52" t="str">
        <f>Index!C17</f>
        <v>F10</v>
      </c>
    </row>
    <row r="6" spans="1:7">
      <c r="A6" s="133"/>
      <c r="B6" s="134"/>
      <c r="C6" s="134"/>
      <c r="G6" s="10" t="s">
        <v>683</v>
      </c>
    </row>
    <row r="7" spans="1:7" ht="38.25">
      <c r="A7" s="67" t="s">
        <v>509</v>
      </c>
      <c r="B7" s="146" t="s">
        <v>398</v>
      </c>
      <c r="C7" s="146" t="s">
        <v>514</v>
      </c>
      <c r="D7" s="146" t="s">
        <v>513</v>
      </c>
      <c r="E7" s="146" t="s">
        <v>517</v>
      </c>
      <c r="F7" s="146" t="s">
        <v>530</v>
      </c>
      <c r="G7" s="146" t="s">
        <v>399</v>
      </c>
    </row>
    <row r="8" spans="1:7">
      <c r="A8" s="67"/>
      <c r="B8" s="146" t="s">
        <v>19</v>
      </c>
      <c r="C8" s="146" t="s">
        <v>20</v>
      </c>
      <c r="D8" s="146" t="s">
        <v>21</v>
      </c>
      <c r="E8" s="146" t="s">
        <v>7</v>
      </c>
      <c r="F8" s="146" t="s">
        <v>61</v>
      </c>
      <c r="G8" s="146" t="s">
        <v>288</v>
      </c>
    </row>
    <row r="9" spans="1:7" ht="15" customHeight="1">
      <c r="A9" s="136">
        <v>1</v>
      </c>
      <c r="B9" s="115" t="s">
        <v>400</v>
      </c>
      <c r="C9" s="431" t="s">
        <v>744</v>
      </c>
      <c r="D9" s="431"/>
      <c r="E9" s="431"/>
      <c r="F9" s="431"/>
      <c r="G9" s="431"/>
    </row>
    <row r="10" spans="1:7" ht="15" customHeight="1">
      <c r="A10" s="136">
        <v>1.1000000000000001</v>
      </c>
      <c r="B10" s="114" t="s">
        <v>401</v>
      </c>
      <c r="C10" s="431"/>
      <c r="D10" s="431"/>
      <c r="E10" s="431"/>
      <c r="F10" s="431"/>
      <c r="G10" s="431"/>
    </row>
    <row r="11" spans="1:7" ht="15" customHeight="1">
      <c r="A11" s="136">
        <v>1.2</v>
      </c>
      <c r="B11" s="112" t="s">
        <v>402</v>
      </c>
      <c r="C11" s="431"/>
      <c r="D11" s="431"/>
      <c r="E11" s="431"/>
      <c r="F11" s="431"/>
      <c r="G11" s="431"/>
    </row>
    <row r="12" spans="1:7" ht="15" customHeight="1">
      <c r="A12" s="136">
        <v>1.3</v>
      </c>
      <c r="B12" s="112" t="s">
        <v>403</v>
      </c>
      <c r="C12" s="431"/>
      <c r="D12" s="431"/>
      <c r="E12" s="431"/>
      <c r="F12" s="431"/>
      <c r="G12" s="431"/>
    </row>
    <row r="13" spans="1:7" ht="15" customHeight="1">
      <c r="A13" s="136"/>
      <c r="B13" s="113" t="s">
        <v>404</v>
      </c>
      <c r="C13" s="431"/>
      <c r="D13" s="431"/>
      <c r="E13" s="431"/>
      <c r="F13" s="431"/>
      <c r="G13" s="431"/>
    </row>
    <row r="14" spans="1:7" ht="15" customHeight="1">
      <c r="A14" s="136"/>
      <c r="B14" s="113"/>
      <c r="C14" s="431"/>
      <c r="D14" s="431"/>
      <c r="E14" s="431"/>
      <c r="F14" s="431"/>
      <c r="G14" s="431"/>
    </row>
    <row r="15" spans="1:7" ht="15" customHeight="1">
      <c r="A15" s="137">
        <v>2</v>
      </c>
      <c r="B15" s="113" t="s">
        <v>405</v>
      </c>
      <c r="C15" s="431"/>
      <c r="D15" s="431"/>
      <c r="E15" s="431"/>
      <c r="F15" s="431"/>
      <c r="G15" s="431"/>
    </row>
    <row r="16" spans="1:7" ht="15" customHeight="1">
      <c r="A16" s="136">
        <v>2.1</v>
      </c>
      <c r="B16" s="112" t="s">
        <v>480</v>
      </c>
      <c r="C16" s="431"/>
      <c r="D16" s="431"/>
      <c r="E16" s="431"/>
      <c r="F16" s="431"/>
      <c r="G16" s="431"/>
    </row>
    <row r="17" spans="1:7" ht="15" customHeight="1">
      <c r="A17" s="138">
        <v>2.2000000000000002</v>
      </c>
      <c r="B17" s="112" t="s">
        <v>407</v>
      </c>
      <c r="C17" s="431"/>
      <c r="D17" s="431"/>
      <c r="E17" s="431"/>
      <c r="F17" s="431"/>
      <c r="G17" s="431"/>
    </row>
    <row r="18" spans="1:7" ht="15" customHeight="1">
      <c r="A18" s="138">
        <v>2.2999999999999998</v>
      </c>
      <c r="B18" s="112" t="s">
        <v>481</v>
      </c>
      <c r="C18" s="431"/>
      <c r="D18" s="431"/>
      <c r="E18" s="431"/>
      <c r="F18" s="431"/>
      <c r="G18" s="431"/>
    </row>
    <row r="19" spans="1:7" ht="15" customHeight="1">
      <c r="A19" s="138">
        <v>2.4</v>
      </c>
      <c r="B19" s="139" t="s">
        <v>408</v>
      </c>
      <c r="C19" s="431"/>
      <c r="D19" s="431"/>
      <c r="E19" s="431"/>
      <c r="F19" s="431"/>
      <c r="G19" s="431"/>
    </row>
    <row r="20" spans="1:7" ht="15" customHeight="1">
      <c r="A20" s="138" t="s">
        <v>438</v>
      </c>
      <c r="B20" s="139" t="s">
        <v>482</v>
      </c>
      <c r="C20" s="431"/>
      <c r="D20" s="431"/>
      <c r="E20" s="431"/>
      <c r="F20" s="431"/>
      <c r="G20" s="431"/>
    </row>
    <row r="21" spans="1:7" ht="15" customHeight="1">
      <c r="A21" s="138" t="s">
        <v>439</v>
      </c>
      <c r="B21" s="139" t="s">
        <v>410</v>
      </c>
      <c r="C21" s="431"/>
      <c r="D21" s="431"/>
      <c r="E21" s="431"/>
      <c r="F21" s="431"/>
      <c r="G21" s="431"/>
    </row>
    <row r="22" spans="1:7" s="130" customFormat="1" ht="15" customHeight="1">
      <c r="A22" s="138" t="s">
        <v>440</v>
      </c>
      <c r="B22" s="139" t="s">
        <v>412</v>
      </c>
      <c r="C22" s="431"/>
      <c r="D22" s="431"/>
      <c r="E22" s="431"/>
      <c r="F22" s="431"/>
      <c r="G22" s="431"/>
    </row>
    <row r="23" spans="1:7" ht="15" customHeight="1">
      <c r="A23" s="138" t="s">
        <v>441</v>
      </c>
      <c r="B23" s="139" t="s">
        <v>455</v>
      </c>
      <c r="C23" s="431"/>
      <c r="D23" s="431"/>
      <c r="E23" s="431"/>
      <c r="F23" s="431"/>
      <c r="G23" s="431"/>
    </row>
    <row r="24" spans="1:7" ht="15" customHeight="1">
      <c r="A24" s="138" t="s">
        <v>442</v>
      </c>
      <c r="B24" s="139" t="s">
        <v>414</v>
      </c>
      <c r="C24" s="431"/>
      <c r="D24" s="431"/>
      <c r="E24" s="431"/>
      <c r="F24" s="431"/>
      <c r="G24" s="431"/>
    </row>
    <row r="25" spans="1:7" ht="15" customHeight="1">
      <c r="A25" s="138" t="s">
        <v>444</v>
      </c>
      <c r="B25" s="139" t="s">
        <v>416</v>
      </c>
      <c r="C25" s="431"/>
      <c r="D25" s="431"/>
      <c r="E25" s="431"/>
      <c r="F25" s="431"/>
      <c r="G25" s="431"/>
    </row>
    <row r="26" spans="1:7" ht="15" customHeight="1">
      <c r="A26" s="138" t="s">
        <v>483</v>
      </c>
      <c r="B26" s="139" t="s">
        <v>418</v>
      </c>
      <c r="C26" s="431"/>
      <c r="D26" s="431"/>
      <c r="E26" s="431"/>
      <c r="F26" s="431"/>
      <c r="G26" s="431"/>
    </row>
    <row r="27" spans="1:7" ht="15" customHeight="1">
      <c r="A27" s="138" t="s">
        <v>484</v>
      </c>
      <c r="B27" s="139" t="s">
        <v>485</v>
      </c>
      <c r="C27" s="431"/>
      <c r="D27" s="431"/>
      <c r="E27" s="431"/>
      <c r="F27" s="431"/>
      <c r="G27" s="431"/>
    </row>
    <row r="28" spans="1:7" ht="15" customHeight="1">
      <c r="A28" s="138" t="s">
        <v>486</v>
      </c>
      <c r="B28" s="139" t="s">
        <v>487</v>
      </c>
      <c r="C28" s="431"/>
      <c r="D28" s="431"/>
      <c r="E28" s="431"/>
      <c r="F28" s="431"/>
      <c r="G28" s="431"/>
    </row>
    <row r="29" spans="1:7" ht="15" customHeight="1">
      <c r="A29" s="138" t="s">
        <v>488</v>
      </c>
      <c r="B29" s="139" t="s">
        <v>435</v>
      </c>
      <c r="C29" s="431"/>
      <c r="D29" s="431"/>
      <c r="E29" s="431"/>
      <c r="F29" s="431"/>
      <c r="G29" s="431"/>
    </row>
    <row r="30" spans="1:7" ht="15" customHeight="1">
      <c r="A30" s="138"/>
      <c r="B30" s="135" t="s">
        <v>436</v>
      </c>
      <c r="C30" s="431"/>
      <c r="D30" s="431"/>
      <c r="E30" s="431"/>
      <c r="F30" s="431"/>
      <c r="G30" s="431"/>
    </row>
    <row r="31" spans="1:7" s="130" customFormat="1" ht="15" customHeight="1">
      <c r="A31" s="138">
        <v>2.5</v>
      </c>
      <c r="B31" s="111" t="s">
        <v>437</v>
      </c>
      <c r="C31" s="431"/>
      <c r="D31" s="431"/>
      <c r="E31" s="431"/>
      <c r="F31" s="431"/>
      <c r="G31" s="431"/>
    </row>
    <row r="32" spans="1:7" ht="15" customHeight="1">
      <c r="A32" s="138" t="s">
        <v>489</v>
      </c>
      <c r="B32" s="141" t="s">
        <v>520</v>
      </c>
      <c r="C32" s="431"/>
      <c r="D32" s="431"/>
      <c r="E32" s="431"/>
      <c r="F32" s="431"/>
      <c r="G32" s="431"/>
    </row>
    <row r="33" spans="1:7" ht="15" customHeight="1">
      <c r="A33" s="138" t="s">
        <v>490</v>
      </c>
      <c r="B33" s="141" t="s">
        <v>521</v>
      </c>
      <c r="C33" s="431"/>
      <c r="D33" s="431"/>
      <c r="E33" s="431"/>
      <c r="F33" s="431"/>
      <c r="G33" s="431"/>
    </row>
    <row r="34" spans="1:7" ht="15" customHeight="1">
      <c r="A34" s="138" t="s">
        <v>491</v>
      </c>
      <c r="B34" s="141" t="s">
        <v>522</v>
      </c>
      <c r="C34" s="431"/>
      <c r="D34" s="431"/>
      <c r="E34" s="431"/>
      <c r="F34" s="431"/>
      <c r="G34" s="431"/>
    </row>
    <row r="35" spans="1:7" ht="15" customHeight="1">
      <c r="A35" s="138" t="s">
        <v>492</v>
      </c>
      <c r="B35" s="141" t="s">
        <v>523</v>
      </c>
      <c r="C35" s="431"/>
      <c r="D35" s="431"/>
      <c r="E35" s="431"/>
      <c r="F35" s="431"/>
      <c r="G35" s="431"/>
    </row>
    <row r="36" spans="1:7" ht="15" customHeight="1">
      <c r="A36" s="138" t="s">
        <v>493</v>
      </c>
      <c r="B36" s="141" t="s">
        <v>443</v>
      </c>
      <c r="C36" s="431"/>
      <c r="D36" s="431"/>
      <c r="E36" s="431"/>
      <c r="F36" s="431"/>
      <c r="G36" s="431"/>
    </row>
    <row r="37" spans="1:7" ht="15" customHeight="1">
      <c r="A37" s="138" t="s">
        <v>494</v>
      </c>
      <c r="B37" s="141" t="s">
        <v>524</v>
      </c>
      <c r="C37" s="431"/>
      <c r="D37" s="431"/>
      <c r="E37" s="431"/>
      <c r="F37" s="431"/>
      <c r="G37" s="431"/>
    </row>
    <row r="38" spans="1:7" ht="15" customHeight="1">
      <c r="A38" s="138"/>
      <c r="B38" s="135" t="s">
        <v>445</v>
      </c>
      <c r="C38" s="431"/>
      <c r="D38" s="431"/>
      <c r="E38" s="431"/>
      <c r="F38" s="431"/>
      <c r="G38" s="431"/>
    </row>
    <row r="39" spans="1:7" ht="15" customHeight="1">
      <c r="A39" s="138">
        <v>2.6</v>
      </c>
      <c r="B39" s="111" t="s">
        <v>495</v>
      </c>
      <c r="C39" s="431"/>
      <c r="D39" s="431"/>
      <c r="E39" s="431"/>
      <c r="F39" s="431"/>
      <c r="G39" s="431"/>
    </row>
    <row r="40" spans="1:7" ht="15" customHeight="1">
      <c r="A40" s="138"/>
      <c r="B40" s="135" t="s">
        <v>515</v>
      </c>
      <c r="C40" s="431"/>
      <c r="D40" s="431"/>
      <c r="E40" s="431"/>
      <c r="F40" s="431"/>
      <c r="G40" s="431"/>
    </row>
    <row r="41" spans="1:7" s="130" customFormat="1" ht="15" customHeight="1">
      <c r="A41" s="138">
        <v>2.7</v>
      </c>
      <c r="B41" s="111" t="s">
        <v>446</v>
      </c>
      <c r="C41" s="431"/>
      <c r="D41" s="431"/>
      <c r="E41" s="431"/>
      <c r="F41" s="431"/>
      <c r="G41" s="431"/>
    </row>
    <row r="42" spans="1:7" ht="15" customHeight="1">
      <c r="A42" s="138" t="s">
        <v>496</v>
      </c>
      <c r="B42" s="141" t="s">
        <v>448</v>
      </c>
      <c r="C42" s="431"/>
      <c r="D42" s="431"/>
      <c r="E42" s="431"/>
      <c r="F42" s="431"/>
      <c r="G42" s="431"/>
    </row>
    <row r="43" spans="1:7" ht="15" customHeight="1">
      <c r="A43" s="138" t="s">
        <v>497</v>
      </c>
      <c r="B43" s="141" t="s">
        <v>450</v>
      </c>
      <c r="C43" s="431"/>
      <c r="D43" s="431"/>
      <c r="E43" s="431"/>
      <c r="F43" s="431"/>
      <c r="G43" s="431"/>
    </row>
    <row r="44" spans="1:7" ht="15" customHeight="1">
      <c r="A44" s="138"/>
      <c r="B44" s="135" t="s">
        <v>451</v>
      </c>
      <c r="C44" s="431"/>
      <c r="D44" s="431"/>
      <c r="E44" s="431"/>
      <c r="F44" s="431"/>
      <c r="G44" s="431"/>
    </row>
    <row r="45" spans="1:7" ht="15" customHeight="1">
      <c r="A45" s="138"/>
      <c r="B45" s="135" t="s">
        <v>452</v>
      </c>
      <c r="C45" s="431"/>
      <c r="D45" s="431"/>
      <c r="E45" s="431"/>
      <c r="F45" s="431"/>
      <c r="G45" s="431"/>
    </row>
    <row r="46" spans="1:7" ht="15" customHeight="1">
      <c r="A46" s="138"/>
      <c r="B46" s="135"/>
      <c r="C46" s="431"/>
      <c r="D46" s="431"/>
      <c r="E46" s="431"/>
      <c r="F46" s="431"/>
      <c r="G46" s="431"/>
    </row>
    <row r="47" spans="1:7" ht="15" customHeight="1">
      <c r="A47" s="143">
        <v>3</v>
      </c>
      <c r="B47" s="135" t="s">
        <v>453</v>
      </c>
      <c r="C47" s="431" t="s">
        <v>744</v>
      </c>
      <c r="D47" s="431"/>
      <c r="E47" s="431"/>
      <c r="F47" s="431"/>
      <c r="G47" s="431"/>
    </row>
    <row r="48" spans="1:7" ht="15" customHeight="1">
      <c r="A48" s="143"/>
      <c r="B48" s="135"/>
      <c r="C48" s="431"/>
      <c r="D48" s="431"/>
      <c r="E48" s="431"/>
      <c r="F48" s="431"/>
      <c r="G48" s="431"/>
    </row>
    <row r="49" spans="1:7" ht="15" customHeight="1">
      <c r="A49" s="143">
        <v>4</v>
      </c>
      <c r="B49" s="135" t="s">
        <v>48</v>
      </c>
      <c r="C49" s="431"/>
      <c r="D49" s="431"/>
      <c r="E49" s="431"/>
      <c r="F49" s="431"/>
      <c r="G49" s="431"/>
    </row>
    <row r="50" spans="1:7" ht="15" customHeight="1">
      <c r="A50" s="138">
        <v>4.0999999999999996</v>
      </c>
      <c r="B50" s="144" t="s">
        <v>454</v>
      </c>
      <c r="C50" s="431"/>
      <c r="D50" s="431"/>
      <c r="E50" s="431"/>
      <c r="F50" s="431"/>
      <c r="G50" s="431"/>
    </row>
    <row r="51" spans="1:7" ht="15" customHeight="1">
      <c r="A51" s="138">
        <v>4.2</v>
      </c>
      <c r="B51" s="144" t="s">
        <v>410</v>
      </c>
      <c r="C51" s="431"/>
      <c r="D51" s="431"/>
      <c r="E51" s="431"/>
      <c r="F51" s="431"/>
      <c r="G51" s="431"/>
    </row>
    <row r="52" spans="1:7" ht="15" customHeight="1">
      <c r="A52" s="138">
        <v>4.3</v>
      </c>
      <c r="B52" s="144" t="s">
        <v>412</v>
      </c>
      <c r="C52" s="431"/>
      <c r="D52" s="431"/>
      <c r="E52" s="431"/>
      <c r="F52" s="431"/>
      <c r="G52" s="431"/>
    </row>
    <row r="53" spans="1:7" ht="15" customHeight="1">
      <c r="A53" s="138">
        <v>4.4000000000000004</v>
      </c>
      <c r="B53" s="144" t="s">
        <v>455</v>
      </c>
      <c r="C53" s="431"/>
      <c r="D53" s="431"/>
      <c r="E53" s="431"/>
      <c r="F53" s="431"/>
      <c r="G53" s="431"/>
    </row>
    <row r="54" spans="1:7" ht="15" customHeight="1">
      <c r="A54" s="138">
        <v>4.5</v>
      </c>
      <c r="B54" s="144" t="s">
        <v>414</v>
      </c>
      <c r="C54" s="431"/>
      <c r="D54" s="431"/>
      <c r="E54" s="431"/>
      <c r="F54" s="431"/>
      <c r="G54" s="431"/>
    </row>
    <row r="55" spans="1:7" ht="15" customHeight="1">
      <c r="A55" s="138">
        <v>4.5999999999999996</v>
      </c>
      <c r="B55" s="144" t="s">
        <v>416</v>
      </c>
      <c r="C55" s="431"/>
      <c r="D55" s="431"/>
      <c r="E55" s="431"/>
      <c r="F55" s="431"/>
      <c r="G55" s="431"/>
    </row>
    <row r="56" spans="1:7" ht="15" customHeight="1">
      <c r="A56" s="138">
        <v>4.7</v>
      </c>
      <c r="B56" s="144" t="s">
        <v>482</v>
      </c>
      <c r="C56" s="431"/>
      <c r="D56" s="431"/>
      <c r="E56" s="431"/>
      <c r="F56" s="431"/>
      <c r="G56" s="431"/>
    </row>
    <row r="57" spans="1:7" ht="15" customHeight="1">
      <c r="A57" s="138">
        <v>4.8</v>
      </c>
      <c r="B57" s="144" t="s">
        <v>459</v>
      </c>
      <c r="C57" s="431"/>
      <c r="D57" s="431"/>
      <c r="E57" s="431"/>
      <c r="F57" s="431"/>
      <c r="G57" s="431"/>
    </row>
    <row r="58" spans="1:7" ht="15" customHeight="1">
      <c r="A58" s="138">
        <v>4.9000000000000004</v>
      </c>
      <c r="B58" s="144" t="s">
        <v>460</v>
      </c>
      <c r="C58" s="431"/>
      <c r="D58" s="431"/>
      <c r="E58" s="431"/>
      <c r="F58" s="431"/>
      <c r="G58" s="431"/>
    </row>
    <row r="59" spans="1:7" ht="15" customHeight="1">
      <c r="A59" s="142">
        <v>4.0999999999999996</v>
      </c>
      <c r="B59" s="144" t="s">
        <v>498</v>
      </c>
      <c r="C59" s="431"/>
      <c r="D59" s="431"/>
      <c r="E59" s="431"/>
      <c r="F59" s="431"/>
      <c r="G59" s="431"/>
    </row>
    <row r="60" spans="1:7" ht="15" customHeight="1">
      <c r="A60" s="138">
        <v>4.1100000000000003</v>
      </c>
      <c r="B60" s="144" t="s">
        <v>487</v>
      </c>
      <c r="C60" s="431"/>
      <c r="D60" s="431"/>
      <c r="E60" s="431"/>
      <c r="F60" s="431"/>
      <c r="G60" s="431"/>
    </row>
    <row r="61" spans="1:7" ht="15" customHeight="1">
      <c r="A61" s="143"/>
      <c r="B61" s="135" t="s">
        <v>462</v>
      </c>
      <c r="C61" s="431"/>
      <c r="D61" s="431"/>
      <c r="E61" s="431"/>
      <c r="F61" s="431"/>
      <c r="G61" s="431"/>
    </row>
    <row r="62" spans="1:7" ht="15" customHeight="1">
      <c r="A62" s="138"/>
      <c r="B62" s="111"/>
      <c r="C62" s="431"/>
      <c r="D62" s="431"/>
      <c r="E62" s="431"/>
      <c r="F62" s="431"/>
      <c r="G62" s="431"/>
    </row>
    <row r="63" spans="1:7" ht="15" customHeight="1">
      <c r="A63" s="143">
        <v>5</v>
      </c>
      <c r="B63" s="135" t="s">
        <v>519</v>
      </c>
      <c r="C63" s="431"/>
      <c r="D63" s="431"/>
      <c r="E63" s="431"/>
      <c r="F63" s="431"/>
      <c r="G63" s="431"/>
    </row>
    <row r="64" spans="1:7" ht="15" customHeight="1">
      <c r="A64" s="138">
        <v>5.0999999999999996</v>
      </c>
      <c r="B64" s="144" t="s">
        <v>463</v>
      </c>
      <c r="C64" s="431"/>
      <c r="D64" s="431"/>
      <c r="E64" s="431"/>
      <c r="F64" s="431"/>
      <c r="G64" s="431"/>
    </row>
    <row r="65" spans="1:7" ht="15" customHeight="1">
      <c r="A65" s="138">
        <v>5.2</v>
      </c>
      <c r="B65" s="144" t="s">
        <v>464</v>
      </c>
      <c r="C65" s="431"/>
      <c r="D65" s="431"/>
      <c r="E65" s="431"/>
      <c r="F65" s="431"/>
      <c r="G65" s="431"/>
    </row>
    <row r="66" spans="1:7" ht="15" customHeight="1">
      <c r="A66" s="138">
        <v>5.3</v>
      </c>
      <c r="B66" s="144" t="s">
        <v>465</v>
      </c>
      <c r="C66" s="431"/>
      <c r="D66" s="431"/>
      <c r="E66" s="431"/>
      <c r="F66" s="431"/>
      <c r="G66" s="431"/>
    </row>
    <row r="67" spans="1:7" ht="15" customHeight="1">
      <c r="A67" s="138">
        <v>5.4</v>
      </c>
      <c r="B67" s="144" t="s">
        <v>466</v>
      </c>
      <c r="C67" s="431"/>
      <c r="D67" s="431"/>
      <c r="E67" s="431"/>
      <c r="F67" s="431"/>
      <c r="G67" s="431"/>
    </row>
    <row r="68" spans="1:7" ht="15" customHeight="1">
      <c r="A68" s="138">
        <v>5.5</v>
      </c>
      <c r="B68" s="144" t="s">
        <v>467</v>
      </c>
      <c r="C68" s="431"/>
      <c r="D68" s="431"/>
      <c r="E68" s="431"/>
      <c r="F68" s="431"/>
      <c r="G68" s="431"/>
    </row>
    <row r="69" spans="1:7" ht="15" customHeight="1">
      <c r="A69" s="138">
        <v>5.6</v>
      </c>
      <c r="B69" s="144" t="s">
        <v>468</v>
      </c>
      <c r="C69" s="431"/>
      <c r="D69" s="431"/>
      <c r="E69" s="431"/>
      <c r="F69" s="431"/>
      <c r="G69" s="431"/>
    </row>
    <row r="70" spans="1:7" ht="15" customHeight="1">
      <c r="A70" s="143"/>
      <c r="B70" s="135" t="s">
        <v>516</v>
      </c>
      <c r="C70" s="431"/>
      <c r="D70" s="431"/>
      <c r="E70" s="431"/>
      <c r="F70" s="431"/>
      <c r="G70" s="431"/>
    </row>
    <row r="71" spans="1:7" ht="15" customHeight="1">
      <c r="A71" s="143"/>
      <c r="B71" s="135"/>
      <c r="C71" s="431"/>
      <c r="D71" s="431"/>
      <c r="E71" s="431"/>
      <c r="F71" s="431"/>
      <c r="G71" s="431"/>
    </row>
    <row r="72" spans="1:7" ht="15" customHeight="1">
      <c r="A72" s="143">
        <v>6</v>
      </c>
      <c r="B72" s="135" t="s">
        <v>469</v>
      </c>
      <c r="C72" s="431"/>
      <c r="D72" s="431"/>
      <c r="E72" s="431"/>
      <c r="F72" s="431"/>
      <c r="G72" s="431"/>
    </row>
    <row r="73" spans="1:7" ht="15" customHeight="1">
      <c r="A73" s="138">
        <v>6.1</v>
      </c>
      <c r="B73" s="144" t="s">
        <v>470</v>
      </c>
      <c r="C73" s="431"/>
      <c r="D73" s="431"/>
      <c r="E73" s="431"/>
      <c r="F73" s="431"/>
      <c r="G73" s="431"/>
    </row>
    <row r="74" spans="1:7" ht="15" customHeight="1">
      <c r="A74" s="138">
        <v>6.2</v>
      </c>
      <c r="B74" s="144" t="s">
        <v>471</v>
      </c>
      <c r="C74" s="431"/>
      <c r="D74" s="431"/>
      <c r="E74" s="431"/>
      <c r="F74" s="431"/>
      <c r="G74" s="431"/>
    </row>
    <row r="75" spans="1:7" ht="15" customHeight="1">
      <c r="A75" s="138">
        <v>6.3</v>
      </c>
      <c r="B75" s="144" t="s">
        <v>472</v>
      </c>
      <c r="C75" s="431"/>
      <c r="D75" s="431"/>
      <c r="E75" s="431"/>
      <c r="F75" s="431"/>
      <c r="G75" s="431"/>
    </row>
    <row r="76" spans="1:7" ht="15" customHeight="1">
      <c r="A76" s="138">
        <v>6.4</v>
      </c>
      <c r="B76" s="144" t="s">
        <v>473</v>
      </c>
      <c r="C76" s="431"/>
      <c r="D76" s="431"/>
      <c r="E76" s="431"/>
      <c r="F76" s="431"/>
      <c r="G76" s="431"/>
    </row>
    <row r="77" spans="1:7" ht="15" customHeight="1">
      <c r="A77" s="143"/>
      <c r="B77" s="135" t="s">
        <v>474</v>
      </c>
      <c r="C77" s="431"/>
      <c r="D77" s="431"/>
      <c r="E77" s="431"/>
      <c r="F77" s="431"/>
      <c r="G77" s="431"/>
    </row>
    <row r="78" spans="1:7" ht="15" customHeight="1">
      <c r="A78" s="138"/>
      <c r="B78" s="111"/>
      <c r="C78" s="431"/>
      <c r="D78" s="431"/>
      <c r="E78" s="431"/>
      <c r="F78" s="431"/>
      <c r="G78" s="431"/>
    </row>
    <row r="79" spans="1:7" ht="15" customHeight="1">
      <c r="A79" s="143">
        <v>7</v>
      </c>
      <c r="B79" s="135" t="s">
        <v>475</v>
      </c>
      <c r="C79" s="431"/>
      <c r="D79" s="431"/>
      <c r="E79" s="431"/>
      <c r="F79" s="431"/>
      <c r="G79" s="431"/>
    </row>
    <row r="80" spans="1:7" ht="15" customHeight="1">
      <c r="A80" s="138"/>
      <c r="B80" s="144"/>
      <c r="C80" s="431"/>
      <c r="D80" s="431"/>
      <c r="E80" s="431"/>
      <c r="F80" s="431"/>
      <c r="G80" s="431"/>
    </row>
    <row r="81" spans="1:7" ht="15" customHeight="1">
      <c r="A81" s="143">
        <v>8</v>
      </c>
      <c r="B81" s="145" t="s">
        <v>525</v>
      </c>
      <c r="C81" s="431"/>
      <c r="D81" s="431"/>
      <c r="E81" s="431"/>
      <c r="F81" s="431"/>
      <c r="G81" s="431"/>
    </row>
    <row r="82" spans="1:7" ht="15" customHeight="1">
      <c r="A82" s="138">
        <v>8.1</v>
      </c>
      <c r="B82" s="144" t="s">
        <v>476</v>
      </c>
      <c r="C82" s="431"/>
      <c r="D82" s="431"/>
      <c r="E82" s="431"/>
      <c r="F82" s="431"/>
      <c r="G82" s="431"/>
    </row>
    <row r="83" spans="1:7" ht="15" customHeight="1">
      <c r="A83" s="138">
        <v>8.1999999999999993</v>
      </c>
      <c r="B83" s="144" t="s">
        <v>477</v>
      </c>
      <c r="C83" s="431"/>
      <c r="D83" s="431"/>
      <c r="E83" s="431"/>
      <c r="F83" s="431"/>
      <c r="G83" s="431"/>
    </row>
    <row r="84" spans="1:7" ht="15" customHeight="1">
      <c r="A84" s="138">
        <v>8.3000000000000007</v>
      </c>
      <c r="B84" s="144" t="s">
        <v>526</v>
      </c>
      <c r="C84" s="431"/>
      <c r="D84" s="431"/>
      <c r="E84" s="431"/>
      <c r="F84" s="431"/>
      <c r="G84" s="431"/>
    </row>
    <row r="85" spans="1:7" ht="15" customHeight="1">
      <c r="A85" s="138">
        <v>8.4</v>
      </c>
      <c r="B85" s="144" t="s">
        <v>527</v>
      </c>
      <c r="C85" s="431"/>
      <c r="D85" s="431"/>
      <c r="E85" s="431"/>
      <c r="F85" s="431"/>
      <c r="G85" s="431"/>
    </row>
    <row r="86" spans="1:7" ht="15" customHeight="1">
      <c r="A86" s="138"/>
      <c r="B86" s="145" t="s">
        <v>528</v>
      </c>
      <c r="C86" s="431"/>
      <c r="D86" s="431"/>
      <c r="E86" s="431"/>
      <c r="F86" s="431"/>
      <c r="G86" s="431"/>
    </row>
    <row r="87" spans="1:7" ht="15" customHeight="1">
      <c r="A87" s="138"/>
      <c r="B87" s="144"/>
      <c r="C87" s="431"/>
      <c r="D87" s="431"/>
      <c r="E87" s="431"/>
      <c r="F87" s="431"/>
      <c r="G87" s="431"/>
    </row>
    <row r="88" spans="1:7" ht="15" customHeight="1">
      <c r="A88" s="143">
        <v>8</v>
      </c>
      <c r="B88" s="135" t="s">
        <v>529</v>
      </c>
      <c r="C88" s="431"/>
      <c r="D88" s="431"/>
      <c r="E88" s="431"/>
      <c r="F88" s="431"/>
      <c r="G88" s="431"/>
    </row>
    <row r="90" spans="1:7">
      <c r="B90" s="10" t="s">
        <v>478</v>
      </c>
    </row>
    <row r="91" spans="1:7" ht="30" customHeight="1">
      <c r="B91" s="432" t="s">
        <v>479</v>
      </c>
      <c r="C91" s="432"/>
      <c r="D91" s="432"/>
      <c r="E91" s="432"/>
      <c r="F91" s="432"/>
      <c r="G91" s="432"/>
    </row>
    <row r="94" spans="1:7">
      <c r="F94" s="117" t="s">
        <v>208</v>
      </c>
    </row>
  </sheetData>
  <mergeCells count="8">
    <mergeCell ref="A5:E5"/>
    <mergeCell ref="B91:G91"/>
    <mergeCell ref="A2:B2"/>
    <mergeCell ref="A3:B3"/>
    <mergeCell ref="C2:G2"/>
    <mergeCell ref="C3:G3"/>
    <mergeCell ref="C9:G46"/>
    <mergeCell ref="C47:G88"/>
  </mergeCells>
  <phoneticPr fontId="0" type="noConversion"/>
  <pageMargins left="0.9" right="0.36" top="1" bottom="1" header="0.5" footer="0.5"/>
  <pageSetup paperSize="9" scale="66" orientation="portrait" verticalDpi="300" r:id="rId1"/>
  <headerFooter alignWithMargins="0">
    <oddFooter>&amp;CTariff Petition for determination of tariff for FY 2015-16, approval of estimate for 2014-15 and truing up for  FY 2012-13 to FY 2013-14 for RPH</oddFooter>
  </headerFooter>
  <rowBreaks count="1" manualBreakCount="1">
    <brk id="46" max="6" man="1"/>
  </rowBreaks>
</worksheet>
</file>

<file path=xl/worksheets/sheet12.xml><?xml version="1.0" encoding="utf-8"?>
<worksheet xmlns="http://schemas.openxmlformats.org/spreadsheetml/2006/main" xmlns:r="http://schemas.openxmlformats.org/officeDocument/2006/relationships">
  <sheetPr enableFormatConditionsCalculation="0">
    <tabColor indexed="50"/>
    <pageSetUpPr fitToPage="1"/>
  </sheetPr>
  <dimension ref="A1:R27"/>
  <sheetViews>
    <sheetView showGridLines="0" zoomScale="75" zoomScaleNormal="75" zoomScaleSheetLayoutView="73" workbookViewId="0">
      <selection activeCell="A23" sqref="A23:I23"/>
    </sheetView>
  </sheetViews>
  <sheetFormatPr defaultRowHeight="13.5" customHeight="1"/>
  <cols>
    <col min="1" max="1" width="3.28515625" style="149" bestFit="1" customWidth="1"/>
    <col min="2" max="2" width="74.140625" style="149" bestFit="1" customWidth="1"/>
    <col min="3" max="9" width="8.7109375" style="149" customWidth="1"/>
    <col min="10" max="10" width="7.7109375" style="149" customWidth="1"/>
    <col min="11" max="16384" width="9.140625" style="149"/>
  </cols>
  <sheetData>
    <row r="1" spans="1:10" ht="13.5" customHeight="1">
      <c r="A1" s="72"/>
      <c r="B1" s="105"/>
      <c r="C1" s="10"/>
      <c r="D1" s="10"/>
      <c r="E1" s="10"/>
      <c r="F1" s="10"/>
      <c r="G1" s="10"/>
      <c r="H1" s="72"/>
      <c r="I1" s="105"/>
      <c r="J1" s="151"/>
    </row>
    <row r="2" spans="1:10" ht="13.5" customHeight="1">
      <c r="A2" s="400" t="str">
        <f>Index!A2</f>
        <v>Name of Company:</v>
      </c>
      <c r="B2" s="400"/>
      <c r="C2" s="401" t="str">
        <f>Index!D2</f>
        <v>INDRAPRASTHA POWER GENERATION COMPANY LIMITED</v>
      </c>
      <c r="D2" s="401"/>
      <c r="E2" s="401"/>
      <c r="F2" s="401"/>
      <c r="G2" s="401"/>
      <c r="H2" s="401"/>
      <c r="I2" s="401"/>
      <c r="J2" s="152"/>
    </row>
    <row r="3" spans="1:10" ht="13.5" customHeight="1">
      <c r="A3" s="400" t="str">
        <f>Index!A3</f>
        <v>Name of Plant/  Station:</v>
      </c>
      <c r="B3" s="400"/>
      <c r="C3" s="401" t="str">
        <f>Index!D3</f>
        <v>Rajghat Power House</v>
      </c>
      <c r="D3" s="401"/>
      <c r="E3" s="401"/>
      <c r="F3" s="401"/>
      <c r="G3" s="401"/>
      <c r="H3" s="401"/>
      <c r="I3" s="401"/>
      <c r="J3" s="153"/>
    </row>
    <row r="4" spans="1:10" ht="13.5" customHeight="1">
      <c r="A4" s="72"/>
      <c r="B4" s="105"/>
      <c r="C4" s="10"/>
      <c r="D4" s="10"/>
      <c r="E4" s="10"/>
      <c r="F4" s="10"/>
      <c r="G4" s="10"/>
      <c r="H4" s="72"/>
      <c r="I4" s="105"/>
      <c r="J4" s="154"/>
    </row>
    <row r="5" spans="1:10" ht="13.5" customHeight="1">
      <c r="A5" s="429" t="str">
        <f>Index!D18</f>
        <v>Break-up of Construction/ Supply/ Service packages</v>
      </c>
      <c r="B5" s="429"/>
      <c r="C5" s="429"/>
      <c r="D5" s="429"/>
      <c r="E5" s="429"/>
      <c r="F5" s="429"/>
      <c r="G5" s="429"/>
      <c r="H5" s="52" t="s">
        <v>156</v>
      </c>
      <c r="I5" s="52" t="str">
        <f>Index!C18</f>
        <v>F11</v>
      </c>
      <c r="J5" s="153"/>
    </row>
    <row r="6" spans="1:10" ht="13.5" customHeight="1">
      <c r="A6" s="133"/>
      <c r="B6" s="134"/>
      <c r="C6" s="134"/>
      <c r="D6" s="10"/>
      <c r="E6" s="10"/>
      <c r="F6" s="10"/>
      <c r="G6" s="10"/>
      <c r="H6" s="133"/>
      <c r="I6" s="134"/>
      <c r="J6" s="154"/>
    </row>
    <row r="7" spans="1:10" ht="13.5" customHeight="1">
      <c r="A7" s="67"/>
      <c r="B7" s="146" t="s">
        <v>18</v>
      </c>
      <c r="C7" s="146">
        <v>1</v>
      </c>
      <c r="D7" s="146">
        <v>2</v>
      </c>
      <c r="E7" s="146">
        <v>3</v>
      </c>
      <c r="F7" s="146">
        <v>4</v>
      </c>
      <c r="G7" s="146">
        <v>5</v>
      </c>
      <c r="H7" s="67">
        <v>6</v>
      </c>
      <c r="I7" s="146" t="s">
        <v>499</v>
      </c>
      <c r="J7" s="153"/>
    </row>
    <row r="8" spans="1:10" ht="13.5" customHeight="1">
      <c r="A8" s="100">
        <v>1</v>
      </c>
      <c r="B8" s="144" t="s">
        <v>532</v>
      </c>
      <c r="C8" s="431" t="s">
        <v>744</v>
      </c>
      <c r="D8" s="431"/>
      <c r="E8" s="431"/>
      <c r="F8" s="431"/>
      <c r="G8" s="431"/>
      <c r="H8" s="431"/>
      <c r="I8" s="431"/>
    </row>
    <row r="9" spans="1:10" ht="13.5" customHeight="1">
      <c r="A9" s="100">
        <v>2</v>
      </c>
      <c r="B9" s="144" t="s">
        <v>531</v>
      </c>
      <c r="C9" s="431"/>
      <c r="D9" s="431"/>
      <c r="E9" s="431"/>
      <c r="F9" s="431"/>
      <c r="G9" s="431"/>
      <c r="H9" s="431"/>
      <c r="I9" s="431"/>
    </row>
    <row r="10" spans="1:10" ht="13.5" customHeight="1">
      <c r="A10" s="100">
        <v>3</v>
      </c>
      <c r="B10" s="144" t="s">
        <v>500</v>
      </c>
      <c r="C10" s="431"/>
      <c r="D10" s="431"/>
      <c r="E10" s="431"/>
      <c r="F10" s="431"/>
      <c r="G10" s="431"/>
      <c r="H10" s="431"/>
      <c r="I10" s="431"/>
    </row>
    <row r="11" spans="1:10" ht="13.5" customHeight="1">
      <c r="A11" s="100">
        <v>4</v>
      </c>
      <c r="B11" s="144" t="s">
        <v>501</v>
      </c>
      <c r="C11" s="431"/>
      <c r="D11" s="431"/>
      <c r="E11" s="431"/>
      <c r="F11" s="431"/>
      <c r="G11" s="431"/>
      <c r="H11" s="431"/>
      <c r="I11" s="431"/>
    </row>
    <row r="12" spans="1:10" ht="13.5" customHeight="1">
      <c r="A12" s="100">
        <v>5</v>
      </c>
      <c r="B12" s="144" t="s">
        <v>502</v>
      </c>
      <c r="C12" s="431"/>
      <c r="D12" s="431"/>
      <c r="E12" s="431"/>
      <c r="F12" s="431"/>
      <c r="G12" s="431"/>
      <c r="H12" s="431"/>
      <c r="I12" s="431"/>
    </row>
    <row r="13" spans="1:10" ht="13.5" customHeight="1">
      <c r="A13" s="100">
        <v>6</v>
      </c>
      <c r="B13" s="144" t="s">
        <v>503</v>
      </c>
      <c r="C13" s="431"/>
      <c r="D13" s="431"/>
      <c r="E13" s="431"/>
      <c r="F13" s="431"/>
      <c r="G13" s="431"/>
      <c r="H13" s="431"/>
      <c r="I13" s="431"/>
    </row>
    <row r="14" spans="1:10" ht="13.5" customHeight="1">
      <c r="A14" s="100">
        <v>7</v>
      </c>
      <c r="B14" s="144" t="s">
        <v>504</v>
      </c>
      <c r="C14" s="431"/>
      <c r="D14" s="431"/>
      <c r="E14" s="431"/>
      <c r="F14" s="431"/>
      <c r="G14" s="431"/>
      <c r="H14" s="431"/>
      <c r="I14" s="431"/>
    </row>
    <row r="15" spans="1:10" ht="13.5" customHeight="1">
      <c r="A15" s="100">
        <v>8</v>
      </c>
      <c r="B15" s="144" t="s">
        <v>661</v>
      </c>
      <c r="C15" s="431"/>
      <c r="D15" s="431"/>
      <c r="E15" s="431"/>
      <c r="F15" s="431"/>
      <c r="G15" s="431"/>
      <c r="H15" s="431"/>
      <c r="I15" s="431"/>
    </row>
    <row r="16" spans="1:10" ht="13.5" customHeight="1">
      <c r="A16" s="144">
        <v>9</v>
      </c>
      <c r="B16" s="144" t="s">
        <v>505</v>
      </c>
      <c r="C16" s="431"/>
      <c r="D16" s="431"/>
      <c r="E16" s="431"/>
      <c r="F16" s="431"/>
      <c r="G16" s="431"/>
      <c r="H16" s="431"/>
      <c r="I16" s="431"/>
    </row>
    <row r="17" spans="1:18" ht="13.5" customHeight="1">
      <c r="A17" s="144">
        <v>10</v>
      </c>
      <c r="B17" s="144" t="s">
        <v>506</v>
      </c>
      <c r="C17" s="431"/>
      <c r="D17" s="431"/>
      <c r="E17" s="431"/>
      <c r="F17" s="431"/>
      <c r="G17" s="431"/>
      <c r="H17" s="431"/>
      <c r="I17" s="431"/>
    </row>
    <row r="18" spans="1:18" ht="13.5" customHeight="1">
      <c r="A18" s="144">
        <v>11</v>
      </c>
      <c r="B18" s="144" t="s">
        <v>507</v>
      </c>
      <c r="C18" s="431"/>
      <c r="D18" s="431"/>
      <c r="E18" s="431"/>
      <c r="F18" s="431"/>
      <c r="G18" s="431"/>
      <c r="H18" s="431"/>
      <c r="I18" s="431"/>
    </row>
    <row r="19" spans="1:18" ht="13.5" customHeight="1">
      <c r="A19" s="144">
        <v>12</v>
      </c>
      <c r="B19" s="144" t="s">
        <v>349</v>
      </c>
      <c r="C19" s="431"/>
      <c r="D19" s="431"/>
      <c r="E19" s="431"/>
      <c r="F19" s="431"/>
      <c r="G19" s="431"/>
      <c r="H19" s="431"/>
      <c r="I19" s="431"/>
    </row>
    <row r="20" spans="1:18" ht="13.5" customHeight="1">
      <c r="A20" s="144">
        <v>13</v>
      </c>
      <c r="B20" s="144" t="s">
        <v>508</v>
      </c>
      <c r="C20" s="431"/>
      <c r="D20" s="431"/>
      <c r="E20" s="431"/>
      <c r="F20" s="431"/>
      <c r="G20" s="431"/>
      <c r="H20" s="431"/>
      <c r="I20" s="431"/>
    </row>
    <row r="21" spans="1:18" ht="13.5" customHeight="1">
      <c r="A21" s="434"/>
      <c r="B21" s="434"/>
      <c r="C21" s="434"/>
      <c r="D21" s="434"/>
      <c r="E21" s="434"/>
      <c r="F21" s="434"/>
      <c r="G21" s="434"/>
      <c r="H21" s="434"/>
      <c r="I21" s="434"/>
    </row>
    <row r="22" spans="1:18" ht="27" customHeight="1">
      <c r="A22" s="433" t="s">
        <v>659</v>
      </c>
      <c r="B22" s="433"/>
      <c r="C22" s="433"/>
      <c r="D22" s="433"/>
      <c r="E22" s="433"/>
      <c r="F22" s="433"/>
      <c r="G22" s="433"/>
      <c r="H22" s="433"/>
      <c r="I22" s="433"/>
      <c r="J22" s="155"/>
      <c r="K22" s="152"/>
      <c r="L22" s="152"/>
      <c r="M22" s="152"/>
      <c r="N22" s="152"/>
      <c r="O22" s="152"/>
      <c r="P22" s="152"/>
      <c r="Q22" s="152"/>
      <c r="R22" s="152"/>
    </row>
    <row r="23" spans="1:18" ht="26.25" customHeight="1">
      <c r="A23" s="433" t="s">
        <v>662</v>
      </c>
      <c r="B23" s="433"/>
      <c r="C23" s="433"/>
      <c r="D23" s="433"/>
      <c r="E23" s="433"/>
      <c r="F23" s="433"/>
      <c r="G23" s="433"/>
      <c r="H23" s="433"/>
      <c r="I23" s="433"/>
      <c r="J23" s="156"/>
      <c r="K23" s="152"/>
      <c r="L23" s="152"/>
      <c r="M23" s="152"/>
      <c r="N23" s="152"/>
      <c r="O23" s="152"/>
      <c r="P23" s="152"/>
      <c r="Q23" s="152"/>
      <c r="R23" s="152"/>
    </row>
    <row r="24" spans="1:18" ht="13.5" customHeight="1">
      <c r="A24" s="158"/>
      <c r="B24" s="159"/>
      <c r="C24" s="21"/>
      <c r="D24" s="21"/>
      <c r="E24" s="21"/>
      <c r="F24" s="21"/>
      <c r="G24" s="21"/>
      <c r="H24" s="158"/>
      <c r="I24" s="159"/>
      <c r="J24" s="157"/>
      <c r="K24" s="152"/>
      <c r="L24" s="152"/>
      <c r="M24" s="152"/>
      <c r="N24" s="152"/>
      <c r="O24" s="152"/>
      <c r="P24" s="152"/>
      <c r="Q24" s="152"/>
      <c r="R24" s="152"/>
    </row>
    <row r="25" spans="1:18" ht="13.5" customHeight="1">
      <c r="A25" s="158"/>
      <c r="B25" s="159"/>
      <c r="C25" s="160"/>
      <c r="D25" s="160"/>
      <c r="E25" s="21"/>
      <c r="F25" s="21"/>
      <c r="G25" s="21"/>
      <c r="I25" s="159"/>
      <c r="J25" s="157"/>
      <c r="K25" s="152"/>
      <c r="L25" s="152"/>
      <c r="M25" s="152"/>
      <c r="N25" s="152"/>
      <c r="O25" s="152"/>
      <c r="P25" s="152"/>
      <c r="Q25" s="152"/>
      <c r="R25" s="152"/>
    </row>
    <row r="26" spans="1:18" ht="13.5" customHeight="1">
      <c r="A26" s="152"/>
      <c r="B26" s="152"/>
      <c r="C26" s="152"/>
      <c r="D26" s="152"/>
      <c r="E26" s="152"/>
      <c r="F26" s="152"/>
      <c r="G26" s="152"/>
      <c r="H26" s="152"/>
      <c r="I26" s="157"/>
      <c r="J26" s="157"/>
      <c r="K26" s="152"/>
    </row>
    <row r="27" spans="1:18" ht="13.5" customHeight="1">
      <c r="H27" s="161" t="s">
        <v>208</v>
      </c>
      <c r="I27" s="150"/>
      <c r="J27" s="150"/>
    </row>
  </sheetData>
  <mergeCells count="9">
    <mergeCell ref="C2:I2"/>
    <mergeCell ref="C3:I3"/>
    <mergeCell ref="A22:I22"/>
    <mergeCell ref="A23:I23"/>
    <mergeCell ref="A21:I21"/>
    <mergeCell ref="A5:G5"/>
    <mergeCell ref="A2:B2"/>
    <mergeCell ref="A3:B3"/>
    <mergeCell ref="C8:I20"/>
  </mergeCells>
  <phoneticPr fontId="0" type="noConversion"/>
  <pageMargins left="0.9" right="0.36" top="1" bottom="1" header="0.5" footer="0.5"/>
  <pageSetup paperSize="9" scale="65" orientation="portrait" r:id="rId1"/>
  <headerFooter alignWithMargins="0">
    <oddFooter>&amp;CTariff Petition for determination of tariff for FY 2015-16, approval of estimate for 2014-15 and truing up for  FY 2012-13 to FY 2013-14 for RPH</oddFooter>
  </headerFooter>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K59"/>
  <sheetViews>
    <sheetView showGridLines="0" zoomScaleSheetLayoutView="75" workbookViewId="0">
      <selection activeCell="C9" sqref="C9:K21"/>
    </sheetView>
  </sheetViews>
  <sheetFormatPr defaultRowHeight="12.75"/>
  <cols>
    <col min="1" max="1" width="4.42578125" style="162" customWidth="1"/>
    <col min="2" max="2" width="22.85546875" style="125" bestFit="1" customWidth="1"/>
    <col min="3" max="3" width="12.5703125" style="166" bestFit="1" customWidth="1"/>
    <col min="4" max="4" width="11.5703125" style="166" bestFit="1" customWidth="1"/>
    <col min="5" max="5" width="9.7109375" style="166" bestFit="1" customWidth="1"/>
    <col min="6" max="6" width="12.5703125" style="166" bestFit="1" customWidth="1"/>
    <col min="7" max="7" width="11.5703125" style="166" bestFit="1" customWidth="1"/>
    <col min="8" max="8" width="9.7109375" style="166" bestFit="1" customWidth="1"/>
    <col min="9" max="9" width="11.42578125" style="166" bestFit="1" customWidth="1"/>
    <col min="10" max="10" width="15.42578125" style="166" bestFit="1" customWidth="1"/>
    <col min="11" max="11" width="9.7109375" style="166" bestFit="1" customWidth="1"/>
    <col min="12" max="16384" width="9.140625" style="125"/>
  </cols>
  <sheetData>
    <row r="1" spans="1:11" ht="15">
      <c r="A1" s="72"/>
      <c r="B1" s="105"/>
      <c r="C1" s="131"/>
      <c r="D1" s="131"/>
      <c r="E1" s="131"/>
      <c r="F1" s="131"/>
      <c r="G1" s="131"/>
      <c r="H1" s="72"/>
      <c r="I1" s="72"/>
      <c r="J1" s="163"/>
    </row>
    <row r="2" spans="1:11" ht="15" customHeight="1">
      <c r="A2" s="400" t="str">
        <f>Index!A2</f>
        <v>Name of Company:</v>
      </c>
      <c r="B2" s="400"/>
      <c r="C2" s="401" t="str">
        <f>Index!D2</f>
        <v>INDRAPRASTHA POWER GENERATION COMPANY LIMITED</v>
      </c>
      <c r="D2" s="401"/>
      <c r="E2" s="401"/>
      <c r="F2" s="401"/>
      <c r="G2" s="401"/>
      <c r="H2" s="401"/>
      <c r="I2" s="401"/>
      <c r="J2" s="401"/>
      <c r="K2" s="401"/>
    </row>
    <row r="3" spans="1:11">
      <c r="A3" s="400" t="str">
        <f>Index!A3</f>
        <v>Name of Plant/  Station:</v>
      </c>
      <c r="B3" s="400"/>
      <c r="C3" s="401" t="str">
        <f>Index!D3</f>
        <v>Rajghat Power House</v>
      </c>
      <c r="D3" s="401"/>
      <c r="E3" s="401"/>
      <c r="F3" s="401"/>
      <c r="G3" s="401"/>
      <c r="H3" s="401"/>
      <c r="I3" s="401"/>
      <c r="J3" s="401"/>
      <c r="K3" s="401"/>
    </row>
    <row r="4" spans="1:11">
      <c r="A4" s="72"/>
      <c r="B4" s="105"/>
      <c r="C4" s="132"/>
      <c r="D4" s="132"/>
      <c r="E4" s="132"/>
      <c r="F4" s="132"/>
      <c r="G4" s="132"/>
      <c r="H4" s="72"/>
      <c r="I4" s="72"/>
    </row>
    <row r="5" spans="1:11" ht="12.75" customHeight="1">
      <c r="A5" s="429" t="str">
        <f>Index!D19</f>
        <v>Draw Down Schedule for Calculation of IDC &amp; Financing Charges</v>
      </c>
      <c r="B5" s="429"/>
      <c r="C5" s="429"/>
      <c r="D5" s="429"/>
      <c r="E5" s="429"/>
      <c r="F5" s="429"/>
      <c r="G5" s="429"/>
      <c r="H5" s="429"/>
      <c r="I5" s="429"/>
      <c r="J5" s="53" t="s">
        <v>156</v>
      </c>
      <c r="K5" s="53" t="str">
        <f>Index!C19</f>
        <v>F12</v>
      </c>
    </row>
    <row r="6" spans="1:11">
      <c r="K6" s="10" t="s">
        <v>683</v>
      </c>
    </row>
    <row r="7" spans="1:11">
      <c r="A7" s="437" t="s">
        <v>509</v>
      </c>
      <c r="B7" s="126" t="s">
        <v>365</v>
      </c>
      <c r="C7" s="439" t="s">
        <v>366</v>
      </c>
      <c r="D7" s="439"/>
      <c r="E7" s="439"/>
      <c r="F7" s="439" t="s">
        <v>367</v>
      </c>
      <c r="G7" s="439" t="s">
        <v>368</v>
      </c>
      <c r="H7" s="439"/>
      <c r="I7" s="439" t="s">
        <v>369</v>
      </c>
      <c r="J7" s="439" t="s">
        <v>368</v>
      </c>
      <c r="K7" s="439"/>
    </row>
    <row r="8" spans="1:11" ht="51">
      <c r="A8" s="438"/>
      <c r="B8" s="126" t="s">
        <v>18</v>
      </c>
      <c r="C8" s="167" t="s">
        <v>370</v>
      </c>
      <c r="D8" s="167" t="s">
        <v>371</v>
      </c>
      <c r="E8" s="167" t="s">
        <v>372</v>
      </c>
      <c r="F8" s="167" t="s">
        <v>370</v>
      </c>
      <c r="G8" s="167" t="s">
        <v>371</v>
      </c>
      <c r="H8" s="167" t="s">
        <v>372</v>
      </c>
      <c r="I8" s="167" t="s">
        <v>370</v>
      </c>
      <c r="J8" s="167" t="s">
        <v>371</v>
      </c>
      <c r="K8" s="167" t="s">
        <v>372</v>
      </c>
    </row>
    <row r="9" spans="1:11">
      <c r="A9" s="170">
        <v>1</v>
      </c>
      <c r="B9" s="126" t="s">
        <v>373</v>
      </c>
      <c r="C9" s="440" t="s">
        <v>744</v>
      </c>
      <c r="D9" s="441"/>
      <c r="E9" s="441"/>
      <c r="F9" s="441"/>
      <c r="G9" s="441"/>
      <c r="H9" s="441"/>
      <c r="I9" s="441"/>
      <c r="J9" s="441"/>
      <c r="K9" s="442"/>
    </row>
    <row r="10" spans="1:11">
      <c r="A10" s="172">
        <v>1.1000000000000001</v>
      </c>
      <c r="B10" s="126" t="s">
        <v>374</v>
      </c>
      <c r="C10" s="443"/>
      <c r="D10" s="444"/>
      <c r="E10" s="444"/>
      <c r="F10" s="444"/>
      <c r="G10" s="444"/>
      <c r="H10" s="444"/>
      <c r="I10" s="444"/>
      <c r="J10" s="444"/>
      <c r="K10" s="445"/>
    </row>
    <row r="11" spans="1:11">
      <c r="A11" s="171" t="s">
        <v>375</v>
      </c>
      <c r="B11" s="128" t="s">
        <v>376</v>
      </c>
      <c r="C11" s="443"/>
      <c r="D11" s="444"/>
      <c r="E11" s="444"/>
      <c r="F11" s="444"/>
      <c r="G11" s="444"/>
      <c r="H11" s="444"/>
      <c r="I11" s="444"/>
      <c r="J11" s="444"/>
      <c r="K11" s="445"/>
    </row>
    <row r="12" spans="1:11">
      <c r="A12" s="171"/>
      <c r="B12" s="128" t="s">
        <v>377</v>
      </c>
      <c r="C12" s="443"/>
      <c r="D12" s="444"/>
      <c r="E12" s="444"/>
      <c r="F12" s="444"/>
      <c r="G12" s="444"/>
      <c r="H12" s="444"/>
      <c r="I12" s="444"/>
      <c r="J12" s="444"/>
      <c r="K12" s="445"/>
    </row>
    <row r="13" spans="1:11">
      <c r="A13" s="171"/>
      <c r="B13" s="128" t="s">
        <v>378</v>
      </c>
      <c r="C13" s="443"/>
      <c r="D13" s="444"/>
      <c r="E13" s="444"/>
      <c r="F13" s="444"/>
      <c r="G13" s="444"/>
      <c r="H13" s="444"/>
      <c r="I13" s="444"/>
      <c r="J13" s="444"/>
      <c r="K13" s="445"/>
    </row>
    <row r="14" spans="1:11">
      <c r="A14" s="171"/>
      <c r="B14" s="128" t="s">
        <v>379</v>
      </c>
      <c r="C14" s="443"/>
      <c r="D14" s="444"/>
      <c r="E14" s="444"/>
      <c r="F14" s="444"/>
      <c r="G14" s="444"/>
      <c r="H14" s="444"/>
      <c r="I14" s="444"/>
      <c r="J14" s="444"/>
      <c r="K14" s="445"/>
    </row>
    <row r="15" spans="1:11">
      <c r="A15" s="171" t="s">
        <v>380</v>
      </c>
      <c r="B15" s="128" t="s">
        <v>381</v>
      </c>
      <c r="C15" s="443"/>
      <c r="D15" s="444"/>
      <c r="E15" s="444"/>
      <c r="F15" s="444"/>
      <c r="G15" s="444"/>
      <c r="H15" s="444"/>
      <c r="I15" s="444"/>
      <c r="J15" s="444"/>
      <c r="K15" s="445"/>
    </row>
    <row r="16" spans="1:11">
      <c r="A16" s="171"/>
      <c r="B16" s="128" t="s">
        <v>377</v>
      </c>
      <c r="C16" s="443"/>
      <c r="D16" s="444"/>
      <c r="E16" s="444"/>
      <c r="F16" s="444"/>
      <c r="G16" s="444"/>
      <c r="H16" s="444"/>
      <c r="I16" s="444"/>
      <c r="J16" s="444"/>
      <c r="K16" s="445"/>
    </row>
    <row r="17" spans="1:11">
      <c r="A17" s="171"/>
      <c r="B17" s="128" t="s">
        <v>378</v>
      </c>
      <c r="C17" s="443"/>
      <c r="D17" s="444"/>
      <c r="E17" s="444"/>
      <c r="F17" s="444"/>
      <c r="G17" s="444"/>
      <c r="H17" s="444"/>
      <c r="I17" s="444"/>
      <c r="J17" s="444"/>
      <c r="K17" s="445"/>
    </row>
    <row r="18" spans="1:11">
      <c r="A18" s="171"/>
      <c r="B18" s="128" t="s">
        <v>379</v>
      </c>
      <c r="C18" s="443"/>
      <c r="D18" s="444"/>
      <c r="E18" s="444"/>
      <c r="F18" s="444"/>
      <c r="G18" s="444"/>
      <c r="H18" s="444"/>
      <c r="I18" s="444"/>
      <c r="J18" s="444"/>
      <c r="K18" s="445"/>
    </row>
    <row r="19" spans="1:11">
      <c r="A19" s="171" t="s">
        <v>382</v>
      </c>
      <c r="B19" s="128" t="s">
        <v>383</v>
      </c>
      <c r="C19" s="443"/>
      <c r="D19" s="444"/>
      <c r="E19" s="444"/>
      <c r="F19" s="444"/>
      <c r="G19" s="444"/>
      <c r="H19" s="444"/>
      <c r="I19" s="444"/>
      <c r="J19" s="444"/>
      <c r="K19" s="445"/>
    </row>
    <row r="20" spans="1:11">
      <c r="A20" s="171"/>
      <c r="B20" s="128" t="s">
        <v>383</v>
      </c>
      <c r="C20" s="443"/>
      <c r="D20" s="444"/>
      <c r="E20" s="444"/>
      <c r="F20" s="444"/>
      <c r="G20" s="444"/>
      <c r="H20" s="444"/>
      <c r="I20" s="444"/>
      <c r="J20" s="444"/>
      <c r="K20" s="445"/>
    </row>
    <row r="21" spans="1:11">
      <c r="A21" s="171"/>
      <c r="B21" s="128" t="s">
        <v>383</v>
      </c>
      <c r="C21" s="446"/>
      <c r="D21" s="447"/>
      <c r="E21" s="447"/>
      <c r="F21" s="447"/>
      <c r="G21" s="447"/>
      <c r="H21" s="447"/>
      <c r="I21" s="447"/>
      <c r="J21" s="447"/>
      <c r="K21" s="448"/>
    </row>
    <row r="22" spans="1:11">
      <c r="A22" s="171"/>
      <c r="B22" s="128"/>
      <c r="C22" s="168"/>
      <c r="D22" s="168"/>
      <c r="E22" s="168"/>
      <c r="F22" s="168"/>
      <c r="G22" s="168"/>
      <c r="H22" s="168"/>
      <c r="I22" s="168"/>
      <c r="J22" s="168"/>
      <c r="K22" s="168"/>
    </row>
    <row r="23" spans="1:11">
      <c r="A23" s="171"/>
      <c r="B23" s="126" t="s">
        <v>384</v>
      </c>
      <c r="C23" s="168"/>
      <c r="D23" s="168"/>
      <c r="E23" s="168"/>
      <c r="F23" s="168"/>
      <c r="G23" s="168"/>
      <c r="H23" s="168"/>
      <c r="I23" s="168"/>
      <c r="J23" s="168"/>
      <c r="K23" s="168"/>
    </row>
    <row r="24" spans="1:11">
      <c r="A24" s="171"/>
      <c r="B24" s="126" t="s">
        <v>377</v>
      </c>
      <c r="C24" s="164">
        <f>C12+C15+C19</f>
        <v>0</v>
      </c>
      <c r="D24" s="164">
        <f t="shared" ref="D24:K24" si="0">D12+D15+D19</f>
        <v>0</v>
      </c>
      <c r="E24" s="164">
        <f t="shared" si="0"/>
        <v>0</v>
      </c>
      <c r="F24" s="164">
        <f t="shared" si="0"/>
        <v>0</v>
      </c>
      <c r="G24" s="164">
        <f t="shared" si="0"/>
        <v>0</v>
      </c>
      <c r="H24" s="164">
        <f t="shared" si="0"/>
        <v>0</v>
      </c>
      <c r="I24" s="164">
        <f t="shared" si="0"/>
        <v>0</v>
      </c>
      <c r="J24" s="164">
        <f t="shared" si="0"/>
        <v>0</v>
      </c>
      <c r="K24" s="164">
        <f t="shared" si="0"/>
        <v>0</v>
      </c>
    </row>
    <row r="25" spans="1:11">
      <c r="A25" s="171"/>
      <c r="B25" s="126" t="s">
        <v>378</v>
      </c>
      <c r="C25" s="164">
        <f>C13+C16+C20</f>
        <v>0</v>
      </c>
      <c r="D25" s="164">
        <f t="shared" ref="D25:K25" si="1">D13+D16+D20</f>
        <v>0</v>
      </c>
      <c r="E25" s="164">
        <f t="shared" si="1"/>
        <v>0</v>
      </c>
      <c r="F25" s="164">
        <f t="shared" si="1"/>
        <v>0</v>
      </c>
      <c r="G25" s="164">
        <f t="shared" si="1"/>
        <v>0</v>
      </c>
      <c r="H25" s="164">
        <f t="shared" si="1"/>
        <v>0</v>
      </c>
      <c r="I25" s="164">
        <f t="shared" si="1"/>
        <v>0</v>
      </c>
      <c r="J25" s="164">
        <f t="shared" si="1"/>
        <v>0</v>
      </c>
      <c r="K25" s="164">
        <f t="shared" si="1"/>
        <v>0</v>
      </c>
    </row>
    <row r="26" spans="1:11">
      <c r="A26" s="171"/>
      <c r="B26" s="126" t="s">
        <v>379</v>
      </c>
      <c r="C26" s="164">
        <f>C14+C17+C21</f>
        <v>0</v>
      </c>
      <c r="D26" s="164">
        <f t="shared" ref="D26:K26" si="2">D14+D17+D21</f>
        <v>0</v>
      </c>
      <c r="E26" s="164">
        <f t="shared" si="2"/>
        <v>0</v>
      </c>
      <c r="F26" s="164">
        <f t="shared" si="2"/>
        <v>0</v>
      </c>
      <c r="G26" s="164">
        <f t="shared" si="2"/>
        <v>0</v>
      </c>
      <c r="H26" s="164">
        <f t="shared" si="2"/>
        <v>0</v>
      </c>
      <c r="I26" s="164">
        <f t="shared" si="2"/>
        <v>0</v>
      </c>
      <c r="J26" s="164">
        <f t="shared" si="2"/>
        <v>0</v>
      </c>
      <c r="K26" s="164">
        <f t="shared" si="2"/>
        <v>0</v>
      </c>
    </row>
    <row r="27" spans="1:11">
      <c r="A27" s="171"/>
      <c r="B27" s="127"/>
      <c r="C27" s="168"/>
      <c r="D27" s="168"/>
      <c r="E27" s="168"/>
      <c r="F27" s="168"/>
      <c r="G27" s="168"/>
      <c r="H27" s="168"/>
      <c r="I27" s="168"/>
      <c r="J27" s="168"/>
      <c r="K27" s="168"/>
    </row>
    <row r="28" spans="1:11">
      <c r="A28" s="172">
        <v>1.2</v>
      </c>
      <c r="B28" s="126" t="s">
        <v>385</v>
      </c>
      <c r="C28" s="168"/>
      <c r="D28" s="168"/>
      <c r="E28" s="168"/>
      <c r="F28" s="168"/>
      <c r="G28" s="168"/>
      <c r="H28" s="168"/>
      <c r="I28" s="168"/>
      <c r="J28" s="168"/>
      <c r="K28" s="168"/>
    </row>
    <row r="29" spans="1:11">
      <c r="A29" s="171" t="s">
        <v>386</v>
      </c>
      <c r="B29" s="126" t="s">
        <v>387</v>
      </c>
      <c r="C29" s="168"/>
      <c r="D29" s="168"/>
      <c r="E29" s="168"/>
      <c r="F29" s="168"/>
      <c r="G29" s="168"/>
      <c r="H29" s="168"/>
      <c r="I29" s="168"/>
      <c r="J29" s="168"/>
      <c r="K29" s="168"/>
    </row>
    <row r="30" spans="1:11">
      <c r="A30" s="171"/>
      <c r="B30" s="128" t="s">
        <v>377</v>
      </c>
      <c r="C30" s="165"/>
      <c r="D30" s="165"/>
      <c r="E30" s="168"/>
      <c r="F30" s="165"/>
      <c r="G30" s="165"/>
      <c r="H30" s="168"/>
      <c r="I30" s="165"/>
      <c r="J30" s="165"/>
      <c r="K30" s="168"/>
    </row>
    <row r="31" spans="1:11">
      <c r="A31" s="171"/>
      <c r="B31" s="128" t="s">
        <v>378</v>
      </c>
      <c r="C31" s="165"/>
      <c r="D31" s="165"/>
      <c r="E31" s="168"/>
      <c r="F31" s="165"/>
      <c r="G31" s="165"/>
      <c r="H31" s="168"/>
      <c r="I31" s="165"/>
      <c r="J31" s="165"/>
      <c r="K31" s="168"/>
    </row>
    <row r="32" spans="1:11">
      <c r="A32" s="171"/>
      <c r="B32" s="128" t="s">
        <v>379</v>
      </c>
      <c r="C32" s="165"/>
      <c r="D32" s="165"/>
      <c r="E32" s="168"/>
      <c r="F32" s="165"/>
      <c r="G32" s="165"/>
      <c r="H32" s="168"/>
      <c r="I32" s="165"/>
      <c r="J32" s="165"/>
      <c r="K32" s="168"/>
    </row>
    <row r="33" spans="1:11">
      <c r="A33" s="171" t="s">
        <v>388</v>
      </c>
      <c r="B33" s="126" t="s">
        <v>389</v>
      </c>
      <c r="C33" s="168"/>
      <c r="D33" s="168"/>
      <c r="E33" s="168"/>
      <c r="F33" s="168"/>
      <c r="G33" s="168"/>
      <c r="H33" s="168"/>
      <c r="I33" s="168"/>
      <c r="J33" s="168"/>
      <c r="K33" s="168"/>
    </row>
    <row r="34" spans="1:11">
      <c r="A34" s="171"/>
      <c r="B34" s="128" t="s">
        <v>377</v>
      </c>
      <c r="C34" s="165"/>
      <c r="D34" s="165"/>
      <c r="E34" s="168"/>
      <c r="F34" s="165"/>
      <c r="G34" s="165"/>
      <c r="H34" s="168"/>
      <c r="I34" s="165"/>
      <c r="J34" s="165"/>
      <c r="K34" s="168"/>
    </row>
    <row r="35" spans="1:11">
      <c r="A35" s="171"/>
      <c r="B35" s="128" t="s">
        <v>378</v>
      </c>
      <c r="C35" s="165"/>
      <c r="D35" s="165"/>
      <c r="E35" s="168"/>
      <c r="F35" s="165"/>
      <c r="G35" s="165"/>
      <c r="H35" s="168"/>
      <c r="I35" s="165"/>
      <c r="J35" s="165"/>
      <c r="K35" s="168"/>
    </row>
    <row r="36" spans="1:11">
      <c r="A36" s="171"/>
      <c r="B36" s="128" t="s">
        <v>379</v>
      </c>
      <c r="C36" s="165"/>
      <c r="D36" s="165"/>
      <c r="E36" s="168"/>
      <c r="F36" s="165"/>
      <c r="G36" s="165"/>
      <c r="H36" s="168"/>
      <c r="I36" s="165"/>
      <c r="J36" s="165"/>
      <c r="K36" s="168"/>
    </row>
    <row r="37" spans="1:11">
      <c r="A37" s="171" t="s">
        <v>390</v>
      </c>
      <c r="B37" s="128" t="s">
        <v>383</v>
      </c>
      <c r="C37" s="165"/>
      <c r="D37" s="165"/>
      <c r="E37" s="168"/>
      <c r="F37" s="165"/>
      <c r="G37" s="165"/>
      <c r="H37" s="168"/>
      <c r="I37" s="165"/>
      <c r="J37" s="165"/>
      <c r="K37" s="168"/>
    </row>
    <row r="38" spans="1:11">
      <c r="A38" s="171"/>
      <c r="B38" s="128" t="s">
        <v>383</v>
      </c>
      <c r="C38" s="165"/>
      <c r="D38" s="165"/>
      <c r="E38" s="168"/>
      <c r="F38" s="165"/>
      <c r="G38" s="165"/>
      <c r="H38" s="168"/>
      <c r="I38" s="165"/>
      <c r="J38" s="165"/>
      <c r="K38" s="168"/>
    </row>
    <row r="39" spans="1:11">
      <c r="A39" s="171"/>
      <c r="B39" s="128" t="s">
        <v>383</v>
      </c>
      <c r="C39" s="165"/>
      <c r="D39" s="165"/>
      <c r="E39" s="168"/>
      <c r="F39" s="165"/>
      <c r="G39" s="165"/>
      <c r="H39" s="168"/>
      <c r="I39" s="165"/>
      <c r="J39" s="165"/>
      <c r="K39" s="168"/>
    </row>
    <row r="40" spans="1:11">
      <c r="A40" s="171"/>
      <c r="B40" s="128"/>
      <c r="C40" s="168"/>
      <c r="D40" s="168"/>
      <c r="E40" s="168"/>
      <c r="F40" s="168"/>
      <c r="G40" s="168"/>
      <c r="H40" s="168"/>
      <c r="I40" s="168"/>
      <c r="J40" s="168"/>
      <c r="K40" s="168"/>
    </row>
    <row r="41" spans="1:11">
      <c r="A41" s="171"/>
      <c r="B41" s="126" t="s">
        <v>391</v>
      </c>
      <c r="C41" s="168"/>
      <c r="D41" s="168"/>
      <c r="E41" s="168"/>
      <c r="F41" s="168"/>
      <c r="G41" s="168"/>
      <c r="H41" s="168"/>
      <c r="I41" s="168"/>
      <c r="J41" s="168"/>
      <c r="K41" s="168"/>
    </row>
    <row r="42" spans="1:11">
      <c r="A42" s="171"/>
      <c r="B42" s="126" t="s">
        <v>377</v>
      </c>
      <c r="C42" s="173">
        <f>C30+C34+C38</f>
        <v>0</v>
      </c>
      <c r="D42" s="173">
        <f t="shared" ref="D42:K42" si="3">D30+D34+D38</f>
        <v>0</v>
      </c>
      <c r="E42" s="173">
        <f t="shared" si="3"/>
        <v>0</v>
      </c>
      <c r="F42" s="173">
        <f t="shared" si="3"/>
        <v>0</v>
      </c>
      <c r="G42" s="173">
        <f t="shared" si="3"/>
        <v>0</v>
      </c>
      <c r="H42" s="173">
        <f t="shared" si="3"/>
        <v>0</v>
      </c>
      <c r="I42" s="173">
        <f t="shared" si="3"/>
        <v>0</v>
      </c>
      <c r="J42" s="173">
        <f t="shared" si="3"/>
        <v>0</v>
      </c>
      <c r="K42" s="173">
        <f t="shared" si="3"/>
        <v>0</v>
      </c>
    </row>
    <row r="43" spans="1:11">
      <c r="A43" s="171"/>
      <c r="B43" s="126" t="s">
        <v>378</v>
      </c>
      <c r="C43" s="173">
        <f>C31+C35+C39</f>
        <v>0</v>
      </c>
      <c r="D43" s="173">
        <f t="shared" ref="D43:K43" si="4">D31+D35+D39</f>
        <v>0</v>
      </c>
      <c r="E43" s="173">
        <f t="shared" si="4"/>
        <v>0</v>
      </c>
      <c r="F43" s="173">
        <f t="shared" si="4"/>
        <v>0</v>
      </c>
      <c r="G43" s="173">
        <f t="shared" si="4"/>
        <v>0</v>
      </c>
      <c r="H43" s="173">
        <f t="shared" si="4"/>
        <v>0</v>
      </c>
      <c r="I43" s="173">
        <f t="shared" si="4"/>
        <v>0</v>
      </c>
      <c r="J43" s="173">
        <f t="shared" si="4"/>
        <v>0</v>
      </c>
      <c r="K43" s="173">
        <f t="shared" si="4"/>
        <v>0</v>
      </c>
    </row>
    <row r="44" spans="1:11">
      <c r="A44" s="171"/>
      <c r="B44" s="126" t="s">
        <v>379</v>
      </c>
      <c r="C44" s="173">
        <f>C32+C36+C40</f>
        <v>0</v>
      </c>
      <c r="D44" s="173">
        <f t="shared" ref="D44:K44" si="5">D32+D36+D40</f>
        <v>0</v>
      </c>
      <c r="E44" s="173">
        <f t="shared" si="5"/>
        <v>0</v>
      </c>
      <c r="F44" s="173">
        <f t="shared" si="5"/>
        <v>0</v>
      </c>
      <c r="G44" s="173">
        <f t="shared" si="5"/>
        <v>0</v>
      </c>
      <c r="H44" s="173">
        <f t="shared" si="5"/>
        <v>0</v>
      </c>
      <c r="I44" s="173">
        <f t="shared" si="5"/>
        <v>0</v>
      </c>
      <c r="J44" s="173">
        <f t="shared" si="5"/>
        <v>0</v>
      </c>
      <c r="K44" s="173">
        <f t="shared" si="5"/>
        <v>0</v>
      </c>
    </row>
    <row r="45" spans="1:11">
      <c r="A45" s="171"/>
      <c r="B45" s="128"/>
      <c r="C45" s="168"/>
      <c r="D45" s="168"/>
      <c r="E45" s="168"/>
      <c r="F45" s="168"/>
      <c r="G45" s="168"/>
      <c r="H45" s="168"/>
      <c r="I45" s="168"/>
      <c r="J45" s="168"/>
      <c r="K45" s="168"/>
    </row>
    <row r="46" spans="1:11">
      <c r="A46" s="171"/>
      <c r="B46" s="126" t="s">
        <v>392</v>
      </c>
      <c r="C46" s="164">
        <f>C42+C24</f>
        <v>0</v>
      </c>
      <c r="D46" s="164">
        <f t="shared" ref="D46:K46" si="6">D42+D24</f>
        <v>0</v>
      </c>
      <c r="E46" s="164">
        <f t="shared" si="6"/>
        <v>0</v>
      </c>
      <c r="F46" s="164">
        <f t="shared" si="6"/>
        <v>0</v>
      </c>
      <c r="G46" s="164">
        <f t="shared" si="6"/>
        <v>0</v>
      </c>
      <c r="H46" s="164">
        <f t="shared" si="6"/>
        <v>0</v>
      </c>
      <c r="I46" s="164">
        <f t="shared" si="6"/>
        <v>0</v>
      </c>
      <c r="J46" s="164">
        <f t="shared" si="6"/>
        <v>0</v>
      </c>
      <c r="K46" s="164">
        <f t="shared" si="6"/>
        <v>0</v>
      </c>
    </row>
    <row r="47" spans="1:11">
      <c r="A47" s="171"/>
      <c r="B47" s="126" t="s">
        <v>378</v>
      </c>
      <c r="C47" s="164">
        <f>C43+C25</f>
        <v>0</v>
      </c>
      <c r="D47" s="164">
        <f t="shared" ref="D47:K47" si="7">D43+D25</f>
        <v>0</v>
      </c>
      <c r="E47" s="164">
        <f t="shared" si="7"/>
        <v>0</v>
      </c>
      <c r="F47" s="164">
        <f t="shared" si="7"/>
        <v>0</v>
      </c>
      <c r="G47" s="164">
        <f t="shared" si="7"/>
        <v>0</v>
      </c>
      <c r="H47" s="164">
        <f t="shared" si="7"/>
        <v>0</v>
      </c>
      <c r="I47" s="164">
        <f t="shared" si="7"/>
        <v>0</v>
      </c>
      <c r="J47" s="164">
        <f t="shared" si="7"/>
        <v>0</v>
      </c>
      <c r="K47" s="164">
        <f t="shared" si="7"/>
        <v>0</v>
      </c>
    </row>
    <row r="48" spans="1:11">
      <c r="A48" s="171"/>
      <c r="B48" s="126" t="s">
        <v>379</v>
      </c>
      <c r="C48" s="164">
        <f>C44+C26</f>
        <v>0</v>
      </c>
      <c r="D48" s="164">
        <f t="shared" ref="D48:K48" si="8">D44+D26</f>
        <v>0</v>
      </c>
      <c r="E48" s="164">
        <f t="shared" si="8"/>
        <v>0</v>
      </c>
      <c r="F48" s="164">
        <f t="shared" si="8"/>
        <v>0</v>
      </c>
      <c r="G48" s="164">
        <f t="shared" si="8"/>
        <v>0</v>
      </c>
      <c r="H48" s="164">
        <f t="shared" si="8"/>
        <v>0</v>
      </c>
      <c r="I48" s="164">
        <f t="shared" si="8"/>
        <v>0</v>
      </c>
      <c r="J48" s="164">
        <f t="shared" si="8"/>
        <v>0</v>
      </c>
      <c r="K48" s="164">
        <f t="shared" si="8"/>
        <v>0</v>
      </c>
    </row>
    <row r="49" spans="1:11">
      <c r="A49" s="171"/>
      <c r="B49" s="127"/>
      <c r="C49" s="168"/>
      <c r="D49" s="168"/>
      <c r="E49" s="168"/>
      <c r="F49" s="168"/>
      <c r="G49" s="168"/>
      <c r="H49" s="168"/>
      <c r="I49" s="168"/>
      <c r="J49" s="168"/>
      <c r="K49" s="168"/>
    </row>
    <row r="50" spans="1:11">
      <c r="A50" s="171">
        <v>2</v>
      </c>
      <c r="B50" s="126" t="s">
        <v>393</v>
      </c>
      <c r="C50" s="168"/>
      <c r="D50" s="168"/>
      <c r="E50" s="168"/>
      <c r="F50" s="168"/>
      <c r="G50" s="168"/>
      <c r="H50" s="168"/>
      <c r="I50" s="168"/>
      <c r="J50" s="168"/>
      <c r="K50" s="168"/>
    </row>
    <row r="51" spans="1:11">
      <c r="A51" s="171">
        <v>2.1</v>
      </c>
      <c r="B51" s="128" t="s">
        <v>394</v>
      </c>
      <c r="C51" s="168"/>
      <c r="D51" s="168"/>
      <c r="E51" s="168"/>
      <c r="F51" s="168"/>
      <c r="G51" s="168"/>
      <c r="H51" s="168"/>
      <c r="I51" s="168"/>
      <c r="J51" s="168"/>
      <c r="K51" s="168"/>
    </row>
    <row r="52" spans="1:11">
      <c r="A52" s="171">
        <v>2.2000000000000002</v>
      </c>
      <c r="B52" s="128" t="s">
        <v>395</v>
      </c>
      <c r="C52" s="165"/>
      <c r="D52" s="165"/>
      <c r="E52" s="168"/>
      <c r="F52" s="165"/>
      <c r="G52" s="165"/>
      <c r="H52" s="168"/>
      <c r="I52" s="165"/>
      <c r="J52" s="165"/>
      <c r="K52" s="168"/>
    </row>
    <row r="53" spans="1:11">
      <c r="A53" s="171"/>
      <c r="B53" s="126" t="s">
        <v>396</v>
      </c>
      <c r="C53" s="164">
        <f>C51+C52</f>
        <v>0</v>
      </c>
      <c r="D53" s="164">
        <f t="shared" ref="D53:K53" si="9">D51+D52</f>
        <v>0</v>
      </c>
      <c r="E53" s="164">
        <f t="shared" si="9"/>
        <v>0</v>
      </c>
      <c r="F53" s="164">
        <f t="shared" si="9"/>
        <v>0</v>
      </c>
      <c r="G53" s="164">
        <f t="shared" si="9"/>
        <v>0</v>
      </c>
      <c r="H53" s="164">
        <f t="shared" si="9"/>
        <v>0</v>
      </c>
      <c r="I53" s="164">
        <f t="shared" si="9"/>
        <v>0</v>
      </c>
      <c r="J53" s="164">
        <f t="shared" si="9"/>
        <v>0</v>
      </c>
      <c r="K53" s="164">
        <f t="shared" si="9"/>
        <v>0</v>
      </c>
    </row>
    <row r="55" spans="1:11">
      <c r="A55" s="435" t="s">
        <v>397</v>
      </c>
      <c r="B55" s="436"/>
      <c r="C55" s="436"/>
      <c r="D55" s="436"/>
      <c r="E55" s="436"/>
      <c r="F55" s="436"/>
      <c r="G55" s="436"/>
      <c r="H55" s="436"/>
      <c r="I55" s="436"/>
      <c r="J55" s="436"/>
      <c r="K55" s="436"/>
    </row>
    <row r="59" spans="1:11">
      <c r="J59" s="169" t="s">
        <v>208</v>
      </c>
    </row>
  </sheetData>
  <mergeCells count="11">
    <mergeCell ref="A2:B2"/>
    <mergeCell ref="A3:B3"/>
    <mergeCell ref="C2:K2"/>
    <mergeCell ref="C3:K3"/>
    <mergeCell ref="C9:K21"/>
    <mergeCell ref="A55:K55"/>
    <mergeCell ref="A5:I5"/>
    <mergeCell ref="A7:A8"/>
    <mergeCell ref="C7:E7"/>
    <mergeCell ref="F7:H7"/>
    <mergeCell ref="I7:K7"/>
  </mergeCells>
  <phoneticPr fontId="0" type="noConversion"/>
  <pageMargins left="0.9" right="0.36" top="1" bottom="1" header="0.5" footer="0.5"/>
  <pageSetup paperSize="9" scale="69" orientation="portrait" r:id="rId1"/>
  <headerFooter alignWithMargins="0">
    <oddFooter>&amp;CTariff Petition for determination of tariff for FY 2015-16, approval of estimate for 2014-15 and truing up for  FY 2012-13 to FY 2013-14 for RPH</oddFooter>
  </headerFooter>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30"/>
  <sheetViews>
    <sheetView showGridLines="0" topLeftCell="A4" zoomScaleSheetLayoutView="74" workbookViewId="0">
      <selection activeCell="D10" sqref="D10:E10"/>
    </sheetView>
  </sheetViews>
  <sheetFormatPr defaultRowHeight="12.75"/>
  <cols>
    <col min="1" max="1" width="17.7109375" style="12" customWidth="1"/>
    <col min="2" max="2" width="10.42578125" style="50" customWidth="1"/>
    <col min="3" max="7" width="11.28515625" style="50" customWidth="1"/>
    <col min="8" max="16384" width="9.140625" style="12"/>
  </cols>
  <sheetData>
    <row r="1" spans="1:7">
      <c r="A1" s="72"/>
      <c r="B1" s="72"/>
      <c r="C1" s="131"/>
      <c r="D1" s="131"/>
      <c r="E1" s="131"/>
      <c r="F1" s="131"/>
      <c r="G1" s="131"/>
    </row>
    <row r="2" spans="1:7" ht="15" customHeight="1">
      <c r="A2" s="400" t="str">
        <f>Index!A2</f>
        <v>Name of Company:</v>
      </c>
      <c r="B2" s="400"/>
      <c r="C2" s="401" t="str">
        <f>Index!D2</f>
        <v>INDRAPRASTHA POWER GENERATION COMPANY LIMITED</v>
      </c>
      <c r="D2" s="401"/>
      <c r="E2" s="401"/>
      <c r="F2" s="401"/>
      <c r="G2" s="401"/>
    </row>
    <row r="3" spans="1:7">
      <c r="A3" s="400" t="str">
        <f>Index!A3</f>
        <v>Name of Plant/  Station:</v>
      </c>
      <c r="B3" s="400"/>
      <c r="C3" s="401" t="str">
        <f>Index!D3</f>
        <v>Rajghat Power House</v>
      </c>
      <c r="D3" s="401"/>
      <c r="E3" s="401"/>
      <c r="F3" s="401"/>
      <c r="G3" s="401"/>
    </row>
    <row r="4" spans="1:7">
      <c r="A4" s="72"/>
      <c r="B4" s="72"/>
      <c r="C4" s="132"/>
      <c r="D4" s="132"/>
      <c r="E4" s="132"/>
      <c r="F4" s="132"/>
      <c r="G4" s="132"/>
    </row>
    <row r="5" spans="1:7" ht="12.75" customHeight="1">
      <c r="A5" s="429" t="str">
        <f>Index!D20</f>
        <v>Financial Package Upto CoD</v>
      </c>
      <c r="B5" s="429"/>
      <c r="C5" s="429"/>
      <c r="D5" s="429"/>
      <c r="E5" s="429"/>
      <c r="F5" s="53" t="s">
        <v>156</v>
      </c>
      <c r="G5" s="207" t="str">
        <f>Index!C20</f>
        <v>F13</v>
      </c>
    </row>
    <row r="6" spans="1:7">
      <c r="A6" s="153"/>
      <c r="B6" s="153"/>
      <c r="C6" s="174"/>
      <c r="D6" s="174"/>
      <c r="E6" s="174"/>
      <c r="F6" s="174"/>
      <c r="G6" s="174"/>
    </row>
    <row r="7" spans="1:7" ht="14.25">
      <c r="A7" s="451" t="s">
        <v>544</v>
      </c>
      <c r="B7" s="451"/>
      <c r="C7" s="451"/>
      <c r="D7" s="451"/>
      <c r="E7" s="451"/>
      <c r="F7" s="176"/>
    </row>
    <row r="8" spans="1:7" ht="12.75" customHeight="1">
      <c r="A8" s="450" t="s">
        <v>545</v>
      </c>
      <c r="B8" s="450"/>
      <c r="C8" s="450"/>
      <c r="D8" s="450"/>
      <c r="E8" s="450"/>
      <c r="F8" s="176"/>
    </row>
    <row r="9" spans="1:7" ht="13.5" customHeight="1">
      <c r="A9" s="175"/>
    </row>
    <row r="10" spans="1:7" ht="36.75" customHeight="1">
      <c r="A10" s="454"/>
      <c r="B10" s="456" t="s">
        <v>533</v>
      </c>
      <c r="C10" s="456"/>
      <c r="D10" s="456" t="s">
        <v>534</v>
      </c>
      <c r="E10" s="456"/>
      <c r="F10" s="456" t="s">
        <v>535</v>
      </c>
      <c r="G10" s="456"/>
    </row>
    <row r="11" spans="1:7" ht="12.75" customHeight="1">
      <c r="A11" s="455"/>
      <c r="B11" s="67" t="s">
        <v>323</v>
      </c>
      <c r="C11" s="67" t="s">
        <v>319</v>
      </c>
      <c r="D11" s="67" t="s">
        <v>323</v>
      </c>
      <c r="E11" s="67" t="s">
        <v>319</v>
      </c>
      <c r="F11" s="67" t="s">
        <v>323</v>
      </c>
      <c r="G11" s="67" t="s">
        <v>319</v>
      </c>
    </row>
    <row r="12" spans="1:7" ht="12.75" customHeight="1">
      <c r="A12" s="179" t="s">
        <v>373</v>
      </c>
      <c r="B12" s="67"/>
      <c r="C12" s="67"/>
      <c r="D12" s="67"/>
      <c r="E12" s="67"/>
      <c r="F12" s="67"/>
      <c r="G12" s="67"/>
    </row>
    <row r="13" spans="1:7">
      <c r="A13" s="65" t="s">
        <v>536</v>
      </c>
      <c r="B13" s="64"/>
      <c r="C13" s="64"/>
      <c r="D13" s="64"/>
      <c r="E13" s="64"/>
      <c r="F13" s="64"/>
      <c r="G13" s="64"/>
    </row>
    <row r="14" spans="1:7">
      <c r="A14" s="65" t="s">
        <v>537</v>
      </c>
      <c r="B14" s="64"/>
      <c r="C14" s="64"/>
      <c r="D14" s="64"/>
      <c r="E14" s="64"/>
      <c r="F14" s="64"/>
      <c r="G14" s="64"/>
    </row>
    <row r="15" spans="1:7">
      <c r="A15" s="65" t="s">
        <v>538</v>
      </c>
      <c r="B15" s="64"/>
      <c r="C15" s="64"/>
      <c r="D15" s="64"/>
      <c r="E15" s="64"/>
      <c r="F15" s="64"/>
      <c r="G15" s="64"/>
    </row>
    <row r="16" spans="1:7">
      <c r="A16" s="65" t="s">
        <v>539</v>
      </c>
      <c r="B16" s="64"/>
      <c r="C16" s="64"/>
      <c r="D16" s="64"/>
      <c r="E16" s="64"/>
      <c r="F16" s="64"/>
      <c r="G16" s="64"/>
    </row>
    <row r="17" spans="1:7">
      <c r="A17" s="178" t="s">
        <v>548</v>
      </c>
      <c r="B17" s="62"/>
      <c r="C17" s="62">
        <f>SUM(C13:C16)</f>
        <v>0</v>
      </c>
      <c r="D17" s="62"/>
      <c r="E17" s="62">
        <f>SUM(E13:E16)</f>
        <v>0</v>
      </c>
      <c r="F17" s="62"/>
      <c r="G17" s="62">
        <f>SUM(G13:G16)</f>
        <v>0</v>
      </c>
    </row>
    <row r="18" spans="1:7">
      <c r="A18" s="63"/>
      <c r="B18" s="64"/>
      <c r="C18" s="64"/>
      <c r="D18" s="64"/>
      <c r="E18" s="64"/>
      <c r="F18" s="64"/>
      <c r="G18" s="64"/>
    </row>
    <row r="19" spans="1:7">
      <c r="A19" s="61" t="s">
        <v>393</v>
      </c>
      <c r="B19" s="64"/>
      <c r="C19" s="64"/>
      <c r="D19" s="64"/>
      <c r="E19" s="64"/>
      <c r="F19" s="64"/>
      <c r="G19" s="64"/>
    </row>
    <row r="20" spans="1:7">
      <c r="A20" s="65" t="s">
        <v>540</v>
      </c>
      <c r="B20" s="64"/>
      <c r="C20" s="64"/>
      <c r="D20" s="64"/>
      <c r="E20" s="64"/>
      <c r="F20" s="64"/>
      <c r="G20" s="64"/>
    </row>
    <row r="21" spans="1:7">
      <c r="A21" s="65" t="s">
        <v>541</v>
      </c>
      <c r="B21" s="64"/>
      <c r="C21" s="64"/>
      <c r="D21" s="64"/>
      <c r="E21" s="64"/>
      <c r="F21" s="64"/>
      <c r="G21" s="64"/>
    </row>
    <row r="22" spans="1:7">
      <c r="A22" s="61" t="s">
        <v>542</v>
      </c>
      <c r="B22" s="62"/>
      <c r="C22" s="62">
        <f>SUM(C20:C21)</f>
        <v>0</v>
      </c>
      <c r="D22" s="62"/>
      <c r="E22" s="62">
        <f>SUM(E20:E21)</f>
        <v>0</v>
      </c>
      <c r="F22" s="62"/>
      <c r="G22" s="62">
        <f>SUM(G20:G21)</f>
        <v>0</v>
      </c>
    </row>
    <row r="23" spans="1:7">
      <c r="A23" s="63" t="s">
        <v>543</v>
      </c>
      <c r="B23" s="64"/>
      <c r="C23" s="64"/>
      <c r="D23" s="64"/>
      <c r="E23" s="64"/>
      <c r="F23" s="64"/>
      <c r="G23" s="64"/>
    </row>
    <row r="25" spans="1:7">
      <c r="A25" s="452" t="s">
        <v>549</v>
      </c>
      <c r="B25" s="453"/>
      <c r="C25" s="453"/>
      <c r="D25" s="453"/>
      <c r="E25" s="453"/>
      <c r="F25" s="453"/>
      <c r="G25" s="453"/>
    </row>
    <row r="26" spans="1:7" ht="14.25">
      <c r="A26" s="449" t="s">
        <v>546</v>
      </c>
      <c r="B26" s="449"/>
      <c r="C26" s="449"/>
      <c r="D26" s="449"/>
      <c r="E26" s="449"/>
      <c r="F26" s="449"/>
      <c r="G26" s="449"/>
    </row>
    <row r="27" spans="1:7" ht="14.25">
      <c r="A27" s="449"/>
      <c r="B27" s="449"/>
      <c r="C27" s="449"/>
      <c r="D27" s="449"/>
      <c r="E27" s="449"/>
      <c r="F27" s="449"/>
      <c r="G27" s="449"/>
    </row>
    <row r="30" spans="1:7">
      <c r="F30" s="177" t="s">
        <v>208</v>
      </c>
    </row>
  </sheetData>
  <mergeCells count="14">
    <mergeCell ref="A27:G27"/>
    <mergeCell ref="A8:E8"/>
    <mergeCell ref="A26:G26"/>
    <mergeCell ref="A7:E7"/>
    <mergeCell ref="A25:G25"/>
    <mergeCell ref="A10:A11"/>
    <mergeCell ref="B10:C10"/>
    <mergeCell ref="D10:E10"/>
    <mergeCell ref="F10:G10"/>
    <mergeCell ref="A2:B2"/>
    <mergeCell ref="A3:B3"/>
    <mergeCell ref="C2:G2"/>
    <mergeCell ref="C3:G3"/>
    <mergeCell ref="A5:E5"/>
  </mergeCells>
  <phoneticPr fontId="0" type="noConversion"/>
  <pageMargins left="0.9" right="0.36" top="1" bottom="1" header="0.5" footer="0.5"/>
  <pageSetup paperSize="9" orientation="portrait" r:id="rId1"/>
  <headerFooter alignWithMargins="0">
    <oddFooter>&amp;CTariff Petition for determination of tariff for FY 2015-16, approval of estimate for 2014-15 and truing up for  FY 2012-13 to FY 2013-14 for RPH</oddFooter>
  </headerFooter>
</worksheet>
</file>

<file path=xl/worksheets/sheet15.xml><?xml version="1.0" encoding="utf-8"?>
<worksheet xmlns="http://schemas.openxmlformats.org/spreadsheetml/2006/main" xmlns:r="http://schemas.openxmlformats.org/officeDocument/2006/relationships">
  <sheetPr>
    <tabColor indexed="13"/>
    <pageSetUpPr fitToPage="1"/>
  </sheetPr>
  <dimension ref="A1:I89"/>
  <sheetViews>
    <sheetView showGridLines="0" topLeftCell="A17" zoomScaleSheetLayoutView="75" workbookViewId="0">
      <selection activeCell="G5" sqref="G5"/>
    </sheetView>
  </sheetViews>
  <sheetFormatPr defaultRowHeight="15" customHeight="1"/>
  <cols>
    <col min="1" max="1" width="34.140625" style="157" customWidth="1"/>
    <col min="2" max="6" width="12.5703125" style="157" customWidth="1"/>
    <col min="7" max="7" width="11.7109375" style="157" bestFit="1" customWidth="1"/>
    <col min="8" max="8" width="9.7109375" style="157" customWidth="1"/>
    <col min="9" max="256" width="9.140625" style="157"/>
    <col min="257" max="257" width="34.140625" style="157" customWidth="1"/>
    <col min="258" max="262" width="12.5703125" style="157" customWidth="1"/>
    <col min="263" max="263" width="11.7109375" style="157" bestFit="1" customWidth="1"/>
    <col min="264" max="264" width="9.7109375" style="157" customWidth="1"/>
    <col min="265" max="512" width="9.140625" style="157"/>
    <col min="513" max="513" width="34.140625" style="157" customWidth="1"/>
    <col min="514" max="518" width="12.5703125" style="157" customWidth="1"/>
    <col min="519" max="519" width="11.7109375" style="157" bestFit="1" customWidth="1"/>
    <col min="520" max="520" width="9.7109375" style="157" customWidth="1"/>
    <col min="521" max="768" width="9.140625" style="157"/>
    <col min="769" max="769" width="34.140625" style="157" customWidth="1"/>
    <col min="770" max="774" width="12.5703125" style="157" customWidth="1"/>
    <col min="775" max="775" width="11.7109375" style="157" bestFit="1" customWidth="1"/>
    <col min="776" max="776" width="9.7109375" style="157" customWidth="1"/>
    <col min="777" max="1024" width="9.140625" style="157"/>
    <col min="1025" max="1025" width="34.140625" style="157" customWidth="1"/>
    <col min="1026" max="1030" width="12.5703125" style="157" customWidth="1"/>
    <col min="1031" max="1031" width="11.7109375" style="157" bestFit="1" customWidth="1"/>
    <col min="1032" max="1032" width="9.7109375" style="157" customWidth="1"/>
    <col min="1033" max="1280" width="9.140625" style="157"/>
    <col min="1281" max="1281" width="34.140625" style="157" customWidth="1"/>
    <col min="1282" max="1286" width="12.5703125" style="157" customWidth="1"/>
    <col min="1287" max="1287" width="11.7109375" style="157" bestFit="1" customWidth="1"/>
    <col min="1288" max="1288" width="9.7109375" style="157" customWidth="1"/>
    <col min="1289" max="1536" width="9.140625" style="157"/>
    <col min="1537" max="1537" width="34.140625" style="157" customWidth="1"/>
    <col min="1538" max="1542" width="12.5703125" style="157" customWidth="1"/>
    <col min="1543" max="1543" width="11.7109375" style="157" bestFit="1" customWidth="1"/>
    <col min="1544" max="1544" width="9.7109375" style="157" customWidth="1"/>
    <col min="1545" max="1792" width="9.140625" style="157"/>
    <col min="1793" max="1793" width="34.140625" style="157" customWidth="1"/>
    <col min="1794" max="1798" width="12.5703125" style="157" customWidth="1"/>
    <col min="1799" max="1799" width="11.7109375" style="157" bestFit="1" customWidth="1"/>
    <col min="1800" max="1800" width="9.7109375" style="157" customWidth="1"/>
    <col min="1801" max="2048" width="9.140625" style="157"/>
    <col min="2049" max="2049" width="34.140625" style="157" customWidth="1"/>
    <col min="2050" max="2054" width="12.5703125" style="157" customWidth="1"/>
    <col min="2055" max="2055" width="11.7109375" style="157" bestFit="1" customWidth="1"/>
    <col min="2056" max="2056" width="9.7109375" style="157" customWidth="1"/>
    <col min="2057" max="2304" width="9.140625" style="157"/>
    <col min="2305" max="2305" width="34.140625" style="157" customWidth="1"/>
    <col min="2306" max="2310" width="12.5703125" style="157" customWidth="1"/>
    <col min="2311" max="2311" width="11.7109375" style="157" bestFit="1" customWidth="1"/>
    <col min="2312" max="2312" width="9.7109375" style="157" customWidth="1"/>
    <col min="2313" max="2560" width="9.140625" style="157"/>
    <col min="2561" max="2561" width="34.140625" style="157" customWidth="1"/>
    <col min="2562" max="2566" width="12.5703125" style="157" customWidth="1"/>
    <col min="2567" max="2567" width="11.7109375" style="157" bestFit="1" customWidth="1"/>
    <col min="2568" max="2568" width="9.7109375" style="157" customWidth="1"/>
    <col min="2569" max="2816" width="9.140625" style="157"/>
    <col min="2817" max="2817" width="34.140625" style="157" customWidth="1"/>
    <col min="2818" max="2822" width="12.5703125" style="157" customWidth="1"/>
    <col min="2823" max="2823" width="11.7109375" style="157" bestFit="1" customWidth="1"/>
    <col min="2824" max="2824" width="9.7109375" style="157" customWidth="1"/>
    <col min="2825" max="3072" width="9.140625" style="157"/>
    <col min="3073" max="3073" width="34.140625" style="157" customWidth="1"/>
    <col min="3074" max="3078" width="12.5703125" style="157" customWidth="1"/>
    <col min="3079" max="3079" width="11.7109375" style="157" bestFit="1" customWidth="1"/>
    <col min="3080" max="3080" width="9.7109375" style="157" customWidth="1"/>
    <col min="3081" max="3328" width="9.140625" style="157"/>
    <col min="3329" max="3329" width="34.140625" style="157" customWidth="1"/>
    <col min="3330" max="3334" width="12.5703125" style="157" customWidth="1"/>
    <col min="3335" max="3335" width="11.7109375" style="157" bestFit="1" customWidth="1"/>
    <col min="3336" max="3336" width="9.7109375" style="157" customWidth="1"/>
    <col min="3337" max="3584" width="9.140625" style="157"/>
    <col min="3585" max="3585" width="34.140625" style="157" customWidth="1"/>
    <col min="3586" max="3590" width="12.5703125" style="157" customWidth="1"/>
    <col min="3591" max="3591" width="11.7109375" style="157" bestFit="1" customWidth="1"/>
    <col min="3592" max="3592" width="9.7109375" style="157" customWidth="1"/>
    <col min="3593" max="3840" width="9.140625" style="157"/>
    <col min="3841" max="3841" width="34.140625" style="157" customWidth="1"/>
    <col min="3842" max="3846" width="12.5703125" style="157" customWidth="1"/>
    <col min="3847" max="3847" width="11.7109375" style="157" bestFit="1" customWidth="1"/>
    <col min="3848" max="3848" width="9.7109375" style="157" customWidth="1"/>
    <col min="3849" max="4096" width="9.140625" style="157"/>
    <col min="4097" max="4097" width="34.140625" style="157" customWidth="1"/>
    <col min="4098" max="4102" width="12.5703125" style="157" customWidth="1"/>
    <col min="4103" max="4103" width="11.7109375" style="157" bestFit="1" customWidth="1"/>
    <col min="4104" max="4104" width="9.7109375" style="157" customWidth="1"/>
    <col min="4105" max="4352" width="9.140625" style="157"/>
    <col min="4353" max="4353" width="34.140625" style="157" customWidth="1"/>
    <col min="4354" max="4358" width="12.5703125" style="157" customWidth="1"/>
    <col min="4359" max="4359" width="11.7109375" style="157" bestFit="1" customWidth="1"/>
    <col min="4360" max="4360" width="9.7109375" style="157" customWidth="1"/>
    <col min="4361" max="4608" width="9.140625" style="157"/>
    <col min="4609" max="4609" width="34.140625" style="157" customWidth="1"/>
    <col min="4610" max="4614" width="12.5703125" style="157" customWidth="1"/>
    <col min="4615" max="4615" width="11.7109375" style="157" bestFit="1" customWidth="1"/>
    <col min="4616" max="4616" width="9.7109375" style="157" customWidth="1"/>
    <col min="4617" max="4864" width="9.140625" style="157"/>
    <col min="4865" max="4865" width="34.140625" style="157" customWidth="1"/>
    <col min="4866" max="4870" width="12.5703125" style="157" customWidth="1"/>
    <col min="4871" max="4871" width="11.7109375" style="157" bestFit="1" customWidth="1"/>
    <col min="4872" max="4872" width="9.7109375" style="157" customWidth="1"/>
    <col min="4873" max="5120" width="9.140625" style="157"/>
    <col min="5121" max="5121" width="34.140625" style="157" customWidth="1"/>
    <col min="5122" max="5126" width="12.5703125" style="157" customWidth="1"/>
    <col min="5127" max="5127" width="11.7109375" style="157" bestFit="1" customWidth="1"/>
    <col min="5128" max="5128" width="9.7109375" style="157" customWidth="1"/>
    <col min="5129" max="5376" width="9.140625" style="157"/>
    <col min="5377" max="5377" width="34.140625" style="157" customWidth="1"/>
    <col min="5378" max="5382" width="12.5703125" style="157" customWidth="1"/>
    <col min="5383" max="5383" width="11.7109375" style="157" bestFit="1" customWidth="1"/>
    <col min="5384" max="5384" width="9.7109375" style="157" customWidth="1"/>
    <col min="5385" max="5632" width="9.140625" style="157"/>
    <col min="5633" max="5633" width="34.140625" style="157" customWidth="1"/>
    <col min="5634" max="5638" width="12.5703125" style="157" customWidth="1"/>
    <col min="5639" max="5639" width="11.7109375" style="157" bestFit="1" customWidth="1"/>
    <col min="5640" max="5640" width="9.7109375" style="157" customWidth="1"/>
    <col min="5641" max="5888" width="9.140625" style="157"/>
    <col min="5889" max="5889" width="34.140625" style="157" customWidth="1"/>
    <col min="5890" max="5894" width="12.5703125" style="157" customWidth="1"/>
    <col min="5895" max="5895" width="11.7109375" style="157" bestFit="1" customWidth="1"/>
    <col min="5896" max="5896" width="9.7109375" style="157" customWidth="1"/>
    <col min="5897" max="6144" width="9.140625" style="157"/>
    <col min="6145" max="6145" width="34.140625" style="157" customWidth="1"/>
    <col min="6146" max="6150" width="12.5703125" style="157" customWidth="1"/>
    <col min="6151" max="6151" width="11.7109375" style="157" bestFit="1" customWidth="1"/>
    <col min="6152" max="6152" width="9.7109375" style="157" customWidth="1"/>
    <col min="6153" max="6400" width="9.140625" style="157"/>
    <col min="6401" max="6401" width="34.140625" style="157" customWidth="1"/>
    <col min="6402" max="6406" width="12.5703125" style="157" customWidth="1"/>
    <col min="6407" max="6407" width="11.7109375" style="157" bestFit="1" customWidth="1"/>
    <col min="6408" max="6408" width="9.7109375" style="157" customWidth="1"/>
    <col min="6409" max="6656" width="9.140625" style="157"/>
    <col min="6657" max="6657" width="34.140625" style="157" customWidth="1"/>
    <col min="6658" max="6662" width="12.5703125" style="157" customWidth="1"/>
    <col min="6663" max="6663" width="11.7109375" style="157" bestFit="1" customWidth="1"/>
    <col min="6664" max="6664" width="9.7109375" style="157" customWidth="1"/>
    <col min="6665" max="6912" width="9.140625" style="157"/>
    <col min="6913" max="6913" width="34.140625" style="157" customWidth="1"/>
    <col min="6914" max="6918" width="12.5703125" style="157" customWidth="1"/>
    <col min="6919" max="6919" width="11.7109375" style="157" bestFit="1" customWidth="1"/>
    <col min="6920" max="6920" width="9.7109375" style="157" customWidth="1"/>
    <col min="6921" max="7168" width="9.140625" style="157"/>
    <col min="7169" max="7169" width="34.140625" style="157" customWidth="1"/>
    <col min="7170" max="7174" width="12.5703125" style="157" customWidth="1"/>
    <col min="7175" max="7175" width="11.7109375" style="157" bestFit="1" customWidth="1"/>
    <col min="7176" max="7176" width="9.7109375" style="157" customWidth="1"/>
    <col min="7177" max="7424" width="9.140625" style="157"/>
    <col min="7425" max="7425" width="34.140625" style="157" customWidth="1"/>
    <col min="7426" max="7430" width="12.5703125" style="157" customWidth="1"/>
    <col min="7431" max="7431" width="11.7109375" style="157" bestFit="1" customWidth="1"/>
    <col min="7432" max="7432" width="9.7109375" style="157" customWidth="1"/>
    <col min="7433" max="7680" width="9.140625" style="157"/>
    <col min="7681" max="7681" width="34.140625" style="157" customWidth="1"/>
    <col min="7682" max="7686" width="12.5703125" style="157" customWidth="1"/>
    <col min="7687" max="7687" width="11.7109375" style="157" bestFit="1" customWidth="1"/>
    <col min="7688" max="7688" width="9.7109375" style="157" customWidth="1"/>
    <col min="7689" max="7936" width="9.140625" style="157"/>
    <col min="7937" max="7937" width="34.140625" style="157" customWidth="1"/>
    <col min="7938" max="7942" width="12.5703125" style="157" customWidth="1"/>
    <col min="7943" max="7943" width="11.7109375" style="157" bestFit="1" customWidth="1"/>
    <col min="7944" max="7944" width="9.7109375" style="157" customWidth="1"/>
    <col min="7945" max="8192" width="9.140625" style="157"/>
    <col min="8193" max="8193" width="34.140625" style="157" customWidth="1"/>
    <col min="8194" max="8198" width="12.5703125" style="157" customWidth="1"/>
    <col min="8199" max="8199" width="11.7109375" style="157" bestFit="1" customWidth="1"/>
    <col min="8200" max="8200" width="9.7109375" style="157" customWidth="1"/>
    <col min="8201" max="8448" width="9.140625" style="157"/>
    <col min="8449" max="8449" width="34.140625" style="157" customWidth="1"/>
    <col min="8450" max="8454" width="12.5703125" style="157" customWidth="1"/>
    <col min="8455" max="8455" width="11.7109375" style="157" bestFit="1" customWidth="1"/>
    <col min="8456" max="8456" width="9.7109375" style="157" customWidth="1"/>
    <col min="8457" max="8704" width="9.140625" style="157"/>
    <col min="8705" max="8705" width="34.140625" style="157" customWidth="1"/>
    <col min="8706" max="8710" width="12.5703125" style="157" customWidth="1"/>
    <col min="8711" max="8711" width="11.7109375" style="157" bestFit="1" customWidth="1"/>
    <col min="8712" max="8712" width="9.7109375" style="157" customWidth="1"/>
    <col min="8713" max="8960" width="9.140625" style="157"/>
    <col min="8961" max="8961" width="34.140625" style="157" customWidth="1"/>
    <col min="8962" max="8966" width="12.5703125" style="157" customWidth="1"/>
    <col min="8967" max="8967" width="11.7109375" style="157" bestFit="1" customWidth="1"/>
    <col min="8968" max="8968" width="9.7109375" style="157" customWidth="1"/>
    <col min="8969" max="9216" width="9.140625" style="157"/>
    <col min="9217" max="9217" width="34.140625" style="157" customWidth="1"/>
    <col min="9218" max="9222" width="12.5703125" style="157" customWidth="1"/>
    <col min="9223" max="9223" width="11.7109375" style="157" bestFit="1" customWidth="1"/>
    <col min="9224" max="9224" width="9.7109375" style="157" customWidth="1"/>
    <col min="9225" max="9472" width="9.140625" style="157"/>
    <col min="9473" max="9473" width="34.140625" style="157" customWidth="1"/>
    <col min="9474" max="9478" width="12.5703125" style="157" customWidth="1"/>
    <col min="9479" max="9479" width="11.7109375" style="157" bestFit="1" customWidth="1"/>
    <col min="9480" max="9480" width="9.7109375" style="157" customWidth="1"/>
    <col min="9481" max="9728" width="9.140625" style="157"/>
    <col min="9729" max="9729" width="34.140625" style="157" customWidth="1"/>
    <col min="9730" max="9734" width="12.5703125" style="157" customWidth="1"/>
    <col min="9735" max="9735" width="11.7109375" style="157" bestFit="1" customWidth="1"/>
    <col min="9736" max="9736" width="9.7109375" style="157" customWidth="1"/>
    <col min="9737" max="9984" width="9.140625" style="157"/>
    <col min="9985" max="9985" width="34.140625" style="157" customWidth="1"/>
    <col min="9986" max="9990" width="12.5703125" style="157" customWidth="1"/>
    <col min="9991" max="9991" width="11.7109375" style="157" bestFit="1" customWidth="1"/>
    <col min="9992" max="9992" width="9.7109375" style="157" customWidth="1"/>
    <col min="9993" max="10240" width="9.140625" style="157"/>
    <col min="10241" max="10241" width="34.140625" style="157" customWidth="1"/>
    <col min="10242" max="10246" width="12.5703125" style="157" customWidth="1"/>
    <col min="10247" max="10247" width="11.7109375" style="157" bestFit="1" customWidth="1"/>
    <col min="10248" max="10248" width="9.7109375" style="157" customWidth="1"/>
    <col min="10249" max="10496" width="9.140625" style="157"/>
    <col min="10497" max="10497" width="34.140625" style="157" customWidth="1"/>
    <col min="10498" max="10502" width="12.5703125" style="157" customWidth="1"/>
    <col min="10503" max="10503" width="11.7109375" style="157" bestFit="1" customWidth="1"/>
    <col min="10504" max="10504" width="9.7109375" style="157" customWidth="1"/>
    <col min="10505" max="10752" width="9.140625" style="157"/>
    <col min="10753" max="10753" width="34.140625" style="157" customWidth="1"/>
    <col min="10754" max="10758" width="12.5703125" style="157" customWidth="1"/>
    <col min="10759" max="10759" width="11.7109375" style="157" bestFit="1" customWidth="1"/>
    <col min="10760" max="10760" width="9.7109375" style="157" customWidth="1"/>
    <col min="10761" max="11008" width="9.140625" style="157"/>
    <col min="11009" max="11009" width="34.140625" style="157" customWidth="1"/>
    <col min="11010" max="11014" width="12.5703125" style="157" customWidth="1"/>
    <col min="11015" max="11015" width="11.7109375" style="157" bestFit="1" customWidth="1"/>
    <col min="11016" max="11016" width="9.7109375" style="157" customWidth="1"/>
    <col min="11017" max="11264" width="9.140625" style="157"/>
    <col min="11265" max="11265" width="34.140625" style="157" customWidth="1"/>
    <col min="11266" max="11270" width="12.5703125" style="157" customWidth="1"/>
    <col min="11271" max="11271" width="11.7109375" style="157" bestFit="1" customWidth="1"/>
    <col min="11272" max="11272" width="9.7109375" style="157" customWidth="1"/>
    <col min="11273" max="11520" width="9.140625" style="157"/>
    <col min="11521" max="11521" width="34.140625" style="157" customWidth="1"/>
    <col min="11522" max="11526" width="12.5703125" style="157" customWidth="1"/>
    <col min="11527" max="11527" width="11.7109375" style="157" bestFit="1" customWidth="1"/>
    <col min="11528" max="11528" width="9.7109375" style="157" customWidth="1"/>
    <col min="11529" max="11776" width="9.140625" style="157"/>
    <col min="11777" max="11777" width="34.140625" style="157" customWidth="1"/>
    <col min="11778" max="11782" width="12.5703125" style="157" customWidth="1"/>
    <col min="11783" max="11783" width="11.7109375" style="157" bestFit="1" customWidth="1"/>
    <col min="11784" max="11784" width="9.7109375" style="157" customWidth="1"/>
    <col min="11785" max="12032" width="9.140625" style="157"/>
    <col min="12033" max="12033" width="34.140625" style="157" customWidth="1"/>
    <col min="12034" max="12038" width="12.5703125" style="157" customWidth="1"/>
    <col min="12039" max="12039" width="11.7109375" style="157" bestFit="1" customWidth="1"/>
    <col min="12040" max="12040" width="9.7109375" style="157" customWidth="1"/>
    <col min="12041" max="12288" width="9.140625" style="157"/>
    <col min="12289" max="12289" width="34.140625" style="157" customWidth="1"/>
    <col min="12290" max="12294" width="12.5703125" style="157" customWidth="1"/>
    <col min="12295" max="12295" width="11.7109375" style="157" bestFit="1" customWidth="1"/>
    <col min="12296" max="12296" width="9.7109375" style="157" customWidth="1"/>
    <col min="12297" max="12544" width="9.140625" style="157"/>
    <col min="12545" max="12545" width="34.140625" style="157" customWidth="1"/>
    <col min="12546" max="12550" width="12.5703125" style="157" customWidth="1"/>
    <col min="12551" max="12551" width="11.7109375" style="157" bestFit="1" customWidth="1"/>
    <col min="12552" max="12552" width="9.7109375" style="157" customWidth="1"/>
    <col min="12553" max="12800" width="9.140625" style="157"/>
    <col min="12801" max="12801" width="34.140625" style="157" customWidth="1"/>
    <col min="12802" max="12806" width="12.5703125" style="157" customWidth="1"/>
    <col min="12807" max="12807" width="11.7109375" style="157" bestFit="1" customWidth="1"/>
    <col min="12808" max="12808" width="9.7109375" style="157" customWidth="1"/>
    <col min="12809" max="13056" width="9.140625" style="157"/>
    <col min="13057" max="13057" width="34.140625" style="157" customWidth="1"/>
    <col min="13058" max="13062" width="12.5703125" style="157" customWidth="1"/>
    <col min="13063" max="13063" width="11.7109375" style="157" bestFit="1" customWidth="1"/>
    <col min="13064" max="13064" width="9.7109375" style="157" customWidth="1"/>
    <col min="13065" max="13312" width="9.140625" style="157"/>
    <col min="13313" max="13313" width="34.140625" style="157" customWidth="1"/>
    <col min="13314" max="13318" width="12.5703125" style="157" customWidth="1"/>
    <col min="13319" max="13319" width="11.7109375" style="157" bestFit="1" customWidth="1"/>
    <col min="13320" max="13320" width="9.7109375" style="157" customWidth="1"/>
    <col min="13321" max="13568" width="9.140625" style="157"/>
    <col min="13569" max="13569" width="34.140625" style="157" customWidth="1"/>
    <col min="13570" max="13574" width="12.5703125" style="157" customWidth="1"/>
    <col min="13575" max="13575" width="11.7109375" style="157" bestFit="1" customWidth="1"/>
    <col min="13576" max="13576" width="9.7109375" style="157" customWidth="1"/>
    <col min="13577" max="13824" width="9.140625" style="157"/>
    <col min="13825" max="13825" width="34.140625" style="157" customWidth="1"/>
    <col min="13826" max="13830" width="12.5703125" style="157" customWidth="1"/>
    <col min="13831" max="13831" width="11.7109375" style="157" bestFit="1" customWidth="1"/>
    <col min="13832" max="13832" width="9.7109375" style="157" customWidth="1"/>
    <col min="13833" max="14080" width="9.140625" style="157"/>
    <col min="14081" max="14081" width="34.140625" style="157" customWidth="1"/>
    <col min="14082" max="14086" width="12.5703125" style="157" customWidth="1"/>
    <col min="14087" max="14087" width="11.7109375" style="157" bestFit="1" customWidth="1"/>
    <col min="14088" max="14088" width="9.7109375" style="157" customWidth="1"/>
    <col min="14089" max="14336" width="9.140625" style="157"/>
    <col min="14337" max="14337" width="34.140625" style="157" customWidth="1"/>
    <col min="14338" max="14342" width="12.5703125" style="157" customWidth="1"/>
    <col min="14343" max="14343" width="11.7109375" style="157" bestFit="1" customWidth="1"/>
    <col min="14344" max="14344" width="9.7109375" style="157" customWidth="1"/>
    <col min="14345" max="14592" width="9.140625" style="157"/>
    <col min="14593" max="14593" width="34.140625" style="157" customWidth="1"/>
    <col min="14594" max="14598" width="12.5703125" style="157" customWidth="1"/>
    <col min="14599" max="14599" width="11.7109375" style="157" bestFit="1" customWidth="1"/>
    <col min="14600" max="14600" width="9.7109375" style="157" customWidth="1"/>
    <col min="14601" max="14848" width="9.140625" style="157"/>
    <col min="14849" max="14849" width="34.140625" style="157" customWidth="1"/>
    <col min="14850" max="14854" width="12.5703125" style="157" customWidth="1"/>
    <col min="14855" max="14855" width="11.7109375" style="157" bestFit="1" customWidth="1"/>
    <col min="14856" max="14856" width="9.7109375" style="157" customWidth="1"/>
    <col min="14857" max="15104" width="9.140625" style="157"/>
    <col min="15105" max="15105" width="34.140625" style="157" customWidth="1"/>
    <col min="15106" max="15110" width="12.5703125" style="157" customWidth="1"/>
    <col min="15111" max="15111" width="11.7109375" style="157" bestFit="1" customWidth="1"/>
    <col min="15112" max="15112" width="9.7109375" style="157" customWidth="1"/>
    <col min="15113" max="15360" width="9.140625" style="157"/>
    <col min="15361" max="15361" width="34.140625" style="157" customWidth="1"/>
    <col min="15362" max="15366" width="12.5703125" style="157" customWidth="1"/>
    <col min="15367" max="15367" width="11.7109375" style="157" bestFit="1" customWidth="1"/>
    <col min="15368" max="15368" width="9.7109375" style="157" customWidth="1"/>
    <col min="15369" max="15616" width="9.140625" style="157"/>
    <col min="15617" max="15617" width="34.140625" style="157" customWidth="1"/>
    <col min="15618" max="15622" width="12.5703125" style="157" customWidth="1"/>
    <col min="15623" max="15623" width="11.7109375" style="157" bestFit="1" customWidth="1"/>
    <col min="15624" max="15624" width="9.7109375" style="157" customWidth="1"/>
    <col min="15625" max="15872" width="9.140625" style="157"/>
    <col min="15873" max="15873" width="34.140625" style="157" customWidth="1"/>
    <col min="15874" max="15878" width="12.5703125" style="157" customWidth="1"/>
    <col min="15879" max="15879" width="11.7109375" style="157" bestFit="1" customWidth="1"/>
    <col min="15880" max="15880" width="9.7109375" style="157" customWidth="1"/>
    <col min="15881" max="16128" width="9.140625" style="157"/>
    <col min="16129" max="16129" width="34.140625" style="157" customWidth="1"/>
    <col min="16130" max="16134" width="12.5703125" style="157" customWidth="1"/>
    <col min="16135" max="16135" width="11.7109375" style="157" bestFit="1" customWidth="1"/>
    <col min="16136" max="16136" width="9.7109375" style="157" customWidth="1"/>
    <col min="16137" max="16384" width="9.140625" style="157"/>
  </cols>
  <sheetData>
    <row r="1" spans="1:7" ht="15" customHeight="1">
      <c r="A1" s="363"/>
      <c r="B1" s="363"/>
      <c r="C1" s="131"/>
      <c r="D1" s="131"/>
      <c r="E1" s="131"/>
      <c r="F1" s="131"/>
      <c r="G1" s="131"/>
    </row>
    <row r="2" spans="1:7" ht="15" customHeight="1">
      <c r="A2" s="106" t="str">
        <f>[16]Index!A2</f>
        <v>Name of Company:</v>
      </c>
      <c r="B2" s="401" t="str">
        <f>[16]Index!D2</f>
        <v>INDRAPRASTHA POWER GENERATION COMPANY LIMITED</v>
      </c>
      <c r="C2" s="401"/>
      <c r="D2" s="401"/>
      <c r="E2" s="401"/>
      <c r="F2" s="401"/>
      <c r="G2" s="401"/>
    </row>
    <row r="3" spans="1:7" ht="15" customHeight="1">
      <c r="A3" s="106" t="str">
        <f>[16]Index!A3</f>
        <v>Name of Plant/  Station:</v>
      </c>
      <c r="B3" s="401" t="str">
        <f>[16]Index!D3</f>
        <v>Rajghat Power House</v>
      </c>
      <c r="C3" s="401"/>
      <c r="D3" s="401"/>
      <c r="E3" s="401"/>
      <c r="F3" s="401"/>
      <c r="G3" s="401"/>
    </row>
    <row r="4" spans="1:7" ht="15" customHeight="1">
      <c r="A4" s="363"/>
      <c r="B4" s="363"/>
      <c r="C4" s="132"/>
      <c r="D4" s="132"/>
      <c r="E4" s="132"/>
      <c r="F4" s="132"/>
      <c r="G4" s="132"/>
    </row>
    <row r="5" spans="1:7" ht="15" customHeight="1">
      <c r="A5" s="429" t="str">
        <f>[16]Index!D21</f>
        <v>Details of Project Specific Loans</v>
      </c>
      <c r="B5" s="429"/>
      <c r="C5" s="429"/>
      <c r="D5" s="429"/>
      <c r="E5" s="429"/>
      <c r="F5" s="367" t="s">
        <v>156</v>
      </c>
      <c r="G5" s="207" t="str">
        <f>[16]Index!C21</f>
        <v>F14</v>
      </c>
    </row>
    <row r="6" spans="1:7" ht="15" customHeight="1">
      <c r="F6" s="152"/>
      <c r="G6" s="10" t="s">
        <v>683</v>
      </c>
    </row>
    <row r="7" spans="1:7" ht="15" customHeight="1">
      <c r="A7" s="183" t="s">
        <v>18</v>
      </c>
      <c r="B7" s="184" t="s">
        <v>583</v>
      </c>
      <c r="C7" s="184" t="s">
        <v>584</v>
      </c>
      <c r="D7" s="184" t="s">
        <v>585</v>
      </c>
      <c r="E7" s="184" t="s">
        <v>586</v>
      </c>
      <c r="F7" s="184" t="s">
        <v>587</v>
      </c>
      <c r="G7" s="184" t="s">
        <v>588</v>
      </c>
    </row>
    <row r="8" spans="1:7" ht="15" customHeight="1">
      <c r="A8" s="185" t="s">
        <v>558</v>
      </c>
      <c r="B8" s="185"/>
      <c r="C8" s="185"/>
      <c r="D8" s="185"/>
      <c r="E8" s="185"/>
      <c r="F8" s="185"/>
      <c r="G8" s="185"/>
    </row>
    <row r="9" spans="1:7" ht="15" customHeight="1">
      <c r="A9" s="185" t="s">
        <v>559</v>
      </c>
      <c r="B9" s="185"/>
      <c r="C9" s="185"/>
      <c r="D9" s="185"/>
      <c r="E9" s="185"/>
      <c r="F9" s="185"/>
      <c r="G9" s="185"/>
    </row>
    <row r="10" spans="1:7" ht="15" customHeight="1">
      <c r="A10" s="185" t="s">
        <v>551</v>
      </c>
      <c r="B10" s="185"/>
      <c r="C10" s="185"/>
      <c r="D10" s="185"/>
      <c r="E10" s="185"/>
      <c r="F10" s="185"/>
      <c r="G10" s="185"/>
    </row>
    <row r="11" spans="1:7" ht="27">
      <c r="A11" s="186" t="s">
        <v>589</v>
      </c>
      <c r="B11" s="185"/>
      <c r="C11" s="185"/>
      <c r="D11" s="185"/>
      <c r="E11" s="185"/>
      <c r="F11" s="185"/>
      <c r="G11" s="185"/>
    </row>
    <row r="12" spans="1:7" ht="15" customHeight="1">
      <c r="A12" s="185" t="s">
        <v>560</v>
      </c>
      <c r="B12" s="185"/>
      <c r="C12" s="185"/>
      <c r="D12" s="185"/>
      <c r="E12" s="185"/>
      <c r="F12" s="185"/>
      <c r="G12" s="185"/>
    </row>
    <row r="13" spans="1:7" ht="15" customHeight="1">
      <c r="A13" s="185" t="s">
        <v>552</v>
      </c>
      <c r="B13" s="185"/>
      <c r="C13" s="185"/>
      <c r="D13" s="185"/>
      <c r="E13" s="185"/>
      <c r="F13" s="185"/>
      <c r="G13" s="185"/>
    </row>
    <row r="14" spans="1:7" ht="15" customHeight="1">
      <c r="A14" s="185" t="s">
        <v>561</v>
      </c>
      <c r="B14" s="185"/>
      <c r="C14" s="185"/>
      <c r="D14" s="185"/>
      <c r="E14" s="185"/>
      <c r="F14" s="185"/>
      <c r="G14" s="185"/>
    </row>
    <row r="15" spans="1:7" ht="15" customHeight="1">
      <c r="A15" s="185" t="s">
        <v>562</v>
      </c>
      <c r="B15" s="185" t="s">
        <v>553</v>
      </c>
      <c r="C15" s="185" t="s">
        <v>553</v>
      </c>
      <c r="D15" s="185" t="s">
        <v>553</v>
      </c>
      <c r="E15" s="185" t="s">
        <v>553</v>
      </c>
      <c r="F15" s="185" t="s">
        <v>553</v>
      </c>
      <c r="G15" s="185" t="s">
        <v>553</v>
      </c>
    </row>
    <row r="16" spans="1:7" ht="15" customHeight="1">
      <c r="A16" s="185" t="s">
        <v>563</v>
      </c>
      <c r="B16" s="185"/>
      <c r="C16" s="185"/>
      <c r="D16" s="185"/>
      <c r="E16" s="185"/>
      <c r="F16" s="185"/>
      <c r="G16" s="185"/>
    </row>
    <row r="17" spans="1:8" ht="15" customHeight="1">
      <c r="A17" s="185" t="s">
        <v>554</v>
      </c>
      <c r="B17" s="185"/>
      <c r="C17" s="185"/>
      <c r="D17" s="185"/>
      <c r="E17" s="185"/>
      <c r="F17" s="185"/>
      <c r="G17" s="185"/>
    </row>
    <row r="18" spans="1:8" ht="15" customHeight="1">
      <c r="A18" s="185" t="s">
        <v>564</v>
      </c>
      <c r="B18" s="185"/>
      <c r="C18" s="185"/>
      <c r="D18" s="185"/>
      <c r="E18" s="185"/>
      <c r="F18" s="185"/>
      <c r="G18" s="185"/>
    </row>
    <row r="19" spans="1:8" ht="15" customHeight="1">
      <c r="A19" s="185" t="s">
        <v>555</v>
      </c>
      <c r="B19" s="185"/>
      <c r="C19" s="185"/>
      <c r="D19" s="185"/>
      <c r="E19" s="185"/>
      <c r="F19" s="185"/>
      <c r="G19" s="185"/>
    </row>
    <row r="20" spans="1:8" ht="15" customHeight="1">
      <c r="A20" s="185" t="s">
        <v>565</v>
      </c>
      <c r="B20" s="185"/>
      <c r="C20" s="185"/>
      <c r="D20" s="185"/>
      <c r="E20" s="185"/>
      <c r="F20" s="185"/>
      <c r="G20" s="185"/>
    </row>
    <row r="21" spans="1:8" ht="15" customHeight="1">
      <c r="A21" s="185" t="s">
        <v>556</v>
      </c>
      <c r="B21" s="185"/>
      <c r="C21" s="185"/>
      <c r="D21" s="185"/>
      <c r="E21" s="185"/>
      <c r="F21" s="185"/>
      <c r="G21" s="185"/>
    </row>
    <row r="22" spans="1:8" ht="15" customHeight="1">
      <c r="A22" s="185" t="s">
        <v>566</v>
      </c>
      <c r="B22" s="185"/>
      <c r="C22" s="185"/>
      <c r="D22" s="185"/>
      <c r="E22" s="185"/>
      <c r="F22" s="185"/>
      <c r="G22" s="185"/>
    </row>
    <row r="23" spans="1:8" ht="15" customHeight="1">
      <c r="A23" s="185" t="s">
        <v>567</v>
      </c>
      <c r="B23" s="185"/>
      <c r="C23" s="185"/>
      <c r="D23" s="185"/>
      <c r="E23" s="185"/>
      <c r="F23" s="185"/>
      <c r="G23" s="185"/>
    </row>
    <row r="24" spans="1:8" ht="15" customHeight="1">
      <c r="A24" s="185" t="s">
        <v>568</v>
      </c>
      <c r="B24" s="185"/>
      <c r="C24" s="185"/>
      <c r="D24" s="185"/>
      <c r="E24" s="185"/>
      <c r="F24" s="185"/>
      <c r="G24" s="185"/>
    </row>
    <row r="25" spans="1:8" ht="15" customHeight="1">
      <c r="A25" s="185" t="s">
        <v>557</v>
      </c>
      <c r="B25" s="185"/>
      <c r="C25" s="185"/>
      <c r="D25" s="185"/>
      <c r="E25" s="185"/>
      <c r="F25" s="185"/>
      <c r="G25" s="185"/>
    </row>
    <row r="26" spans="1:8" ht="15" customHeight="1">
      <c r="A26" s="185" t="s">
        <v>594</v>
      </c>
      <c r="B26" s="185"/>
      <c r="C26" s="185"/>
      <c r="D26" s="185"/>
      <c r="E26" s="185"/>
      <c r="F26" s="185"/>
      <c r="G26" s="185"/>
    </row>
    <row r="28" spans="1:8" ht="15" customHeight="1">
      <c r="A28" s="457" t="s">
        <v>569</v>
      </c>
      <c r="B28" s="457"/>
      <c r="C28" s="457"/>
      <c r="D28" s="457"/>
      <c r="E28" s="457"/>
      <c r="F28" s="457"/>
      <c r="G28" s="457"/>
      <c r="H28" s="366"/>
    </row>
    <row r="29" spans="1:8" ht="15" customHeight="1">
      <c r="A29" s="457" t="s">
        <v>570</v>
      </c>
      <c r="B29" s="457"/>
      <c r="C29" s="457"/>
      <c r="D29" s="457"/>
      <c r="E29" s="457"/>
      <c r="F29" s="457"/>
      <c r="G29" s="457"/>
      <c r="H29" s="366"/>
    </row>
    <row r="30" spans="1:8" ht="15" customHeight="1">
      <c r="A30" s="457" t="s">
        <v>590</v>
      </c>
      <c r="B30" s="457"/>
      <c r="C30" s="457"/>
      <c r="D30" s="457"/>
      <c r="E30" s="457"/>
      <c r="F30" s="457"/>
      <c r="G30" s="457"/>
      <c r="H30" s="366"/>
    </row>
    <row r="31" spans="1:8" ht="29.25" customHeight="1">
      <c r="A31" s="457" t="s">
        <v>571</v>
      </c>
      <c r="B31" s="457"/>
      <c r="C31" s="457"/>
      <c r="D31" s="457"/>
      <c r="E31" s="457"/>
      <c r="F31" s="457"/>
      <c r="G31" s="457"/>
      <c r="H31" s="181"/>
    </row>
    <row r="32" spans="1:8" ht="15" customHeight="1">
      <c r="A32" s="457" t="s">
        <v>572</v>
      </c>
      <c r="B32" s="457"/>
      <c r="C32" s="457"/>
      <c r="D32" s="457"/>
      <c r="E32" s="457"/>
      <c r="F32" s="457"/>
      <c r="G32" s="457"/>
      <c r="H32" s="366"/>
    </row>
    <row r="33" spans="1:9" ht="15" customHeight="1">
      <c r="A33" s="457" t="s">
        <v>573</v>
      </c>
      <c r="B33" s="457"/>
      <c r="C33" s="457"/>
      <c r="D33" s="457"/>
      <c r="E33" s="457"/>
      <c r="F33" s="457"/>
      <c r="G33" s="457"/>
      <c r="H33" s="366"/>
    </row>
    <row r="34" spans="1:9" ht="27.75" customHeight="1">
      <c r="A34" s="457" t="s">
        <v>574</v>
      </c>
      <c r="B34" s="457"/>
      <c r="C34" s="457"/>
      <c r="D34" s="457"/>
      <c r="E34" s="457"/>
      <c r="F34" s="457"/>
      <c r="G34" s="457"/>
      <c r="H34" s="366"/>
    </row>
    <row r="35" spans="1:9" ht="15" customHeight="1">
      <c r="A35" s="457" t="s">
        <v>575</v>
      </c>
      <c r="B35" s="457"/>
      <c r="C35" s="457"/>
      <c r="D35" s="457"/>
      <c r="E35" s="457"/>
      <c r="F35" s="457"/>
      <c r="G35" s="457"/>
      <c r="H35" s="366"/>
    </row>
    <row r="36" spans="1:9" ht="15" customHeight="1">
      <c r="A36" s="457" t="s">
        <v>591</v>
      </c>
      <c r="B36" s="457"/>
      <c r="C36" s="457"/>
      <c r="D36" s="457"/>
      <c r="E36" s="457"/>
      <c r="F36" s="457"/>
      <c r="G36" s="457"/>
      <c r="H36" s="366"/>
    </row>
    <row r="37" spans="1:9" ht="15" customHeight="1">
      <c r="A37" s="457" t="s">
        <v>576</v>
      </c>
      <c r="B37" s="457"/>
      <c r="C37" s="457"/>
      <c r="D37" s="457"/>
      <c r="E37" s="457"/>
      <c r="F37" s="457"/>
      <c r="G37" s="457"/>
      <c r="H37" s="366"/>
    </row>
    <row r="38" spans="1:9" ht="15" customHeight="1">
      <c r="A38" s="457" t="s">
        <v>577</v>
      </c>
      <c r="B38" s="457"/>
      <c r="C38" s="457"/>
      <c r="D38" s="457"/>
      <c r="E38" s="457"/>
      <c r="F38" s="457"/>
      <c r="G38" s="457"/>
      <c r="H38" s="366"/>
    </row>
    <row r="39" spans="1:9" ht="15" customHeight="1">
      <c r="A39" s="457" t="s">
        <v>578</v>
      </c>
      <c r="B39" s="457"/>
      <c r="C39" s="457"/>
      <c r="D39" s="457"/>
      <c r="E39" s="457"/>
      <c r="F39" s="457"/>
      <c r="G39" s="457"/>
      <c r="H39" s="366"/>
    </row>
    <row r="40" spans="1:9" ht="15" customHeight="1">
      <c r="A40" s="457" t="s">
        <v>579</v>
      </c>
      <c r="B40" s="457"/>
      <c r="C40" s="457"/>
      <c r="D40" s="457"/>
      <c r="E40" s="457"/>
      <c r="F40" s="457"/>
      <c r="G40" s="457"/>
      <c r="H40" s="366"/>
      <c r="I40" s="181"/>
    </row>
    <row r="41" spans="1:9" ht="15" customHeight="1">
      <c r="A41" s="457" t="s">
        <v>580</v>
      </c>
      <c r="B41" s="457"/>
      <c r="C41" s="457"/>
      <c r="D41" s="457"/>
      <c r="E41" s="457"/>
      <c r="F41" s="457"/>
      <c r="G41" s="457"/>
      <c r="H41" s="366"/>
      <c r="I41" s="181"/>
    </row>
    <row r="42" spans="1:9" ht="15" customHeight="1">
      <c r="A42" s="457" t="s">
        <v>581</v>
      </c>
      <c r="B42" s="457"/>
      <c r="C42" s="457"/>
      <c r="D42" s="457"/>
      <c r="E42" s="457"/>
      <c r="F42" s="457"/>
      <c r="G42" s="457"/>
      <c r="H42" s="366"/>
    </row>
    <row r="43" spans="1:9" ht="15" customHeight="1">
      <c r="A43" s="457" t="s">
        <v>595</v>
      </c>
      <c r="B43" s="457"/>
      <c r="C43" s="457"/>
      <c r="D43" s="457"/>
      <c r="E43" s="457"/>
      <c r="F43" s="457"/>
      <c r="G43" s="457"/>
      <c r="H43" s="366"/>
    </row>
    <row r="44" spans="1:9" ht="15" customHeight="1">
      <c r="A44" s="457" t="s">
        <v>582</v>
      </c>
      <c r="B44" s="457"/>
      <c r="C44" s="457"/>
      <c r="D44" s="457"/>
      <c r="E44" s="457"/>
      <c r="F44" s="457"/>
      <c r="G44" s="457"/>
    </row>
    <row r="45" spans="1:9" ht="15" customHeight="1">
      <c r="A45" s="457" t="s">
        <v>592</v>
      </c>
      <c r="B45" s="457"/>
      <c r="C45" s="457"/>
      <c r="D45" s="457"/>
      <c r="E45" s="457"/>
      <c r="F45" s="457"/>
      <c r="G45" s="457"/>
    </row>
    <row r="46" spans="1:9" ht="27" customHeight="1">
      <c r="A46" s="458" t="s">
        <v>593</v>
      </c>
      <c r="B46" s="458"/>
      <c r="C46" s="458"/>
      <c r="D46" s="458"/>
      <c r="E46" s="458"/>
      <c r="F46" s="458"/>
      <c r="G46" s="458"/>
    </row>
    <row r="47" spans="1:9" s="149" customFormat="1" ht="15" customHeight="1"/>
    <row r="48" spans="1:9" s="149" customFormat="1" ht="15" customHeight="1"/>
    <row r="49" spans="6:6" s="149" customFormat="1" ht="15" customHeight="1"/>
    <row r="50" spans="6:6" s="149" customFormat="1" ht="15" customHeight="1"/>
    <row r="51" spans="6:6" s="149" customFormat="1" ht="15" customHeight="1">
      <c r="F51" s="182" t="s">
        <v>208</v>
      </c>
    </row>
    <row r="52" spans="6:6" s="149" customFormat="1" ht="15" customHeight="1"/>
    <row r="53" spans="6:6" s="149" customFormat="1" ht="15" customHeight="1"/>
    <row r="54" spans="6:6" s="149" customFormat="1" ht="15" customHeight="1"/>
    <row r="55" spans="6:6" s="149" customFormat="1" ht="15" customHeight="1"/>
    <row r="56" spans="6:6" s="149" customFormat="1" ht="15" customHeight="1"/>
    <row r="57" spans="6:6" s="149" customFormat="1" ht="15" customHeight="1"/>
    <row r="58" spans="6:6" s="149" customFormat="1" ht="15" customHeight="1"/>
    <row r="59" spans="6:6" s="149" customFormat="1" ht="15" customHeight="1"/>
    <row r="60" spans="6:6" s="149" customFormat="1" ht="15" customHeight="1"/>
    <row r="61" spans="6:6" s="149" customFormat="1" ht="15" customHeight="1"/>
    <row r="62" spans="6:6" s="149" customFormat="1" ht="15" customHeight="1"/>
    <row r="63" spans="6:6" s="149" customFormat="1" ht="15" customHeight="1"/>
    <row r="64" spans="6:6" s="149" customFormat="1" ht="15" customHeight="1"/>
    <row r="65" s="149" customFormat="1" ht="15" customHeight="1"/>
    <row r="66" s="149" customFormat="1" ht="15" customHeight="1"/>
    <row r="67" s="149" customFormat="1" ht="15" customHeight="1"/>
    <row r="68" s="149" customFormat="1" ht="15" customHeight="1"/>
    <row r="69" s="149" customFormat="1" ht="15" customHeight="1"/>
    <row r="70" s="149" customFormat="1" ht="15" customHeight="1"/>
    <row r="71" s="149" customFormat="1" ht="15" customHeight="1"/>
    <row r="72" s="149" customFormat="1" ht="15" customHeight="1"/>
    <row r="73" s="149" customFormat="1" ht="15" customHeight="1"/>
    <row r="74" s="149" customFormat="1" ht="15" customHeight="1"/>
    <row r="75" s="149" customFormat="1" ht="15" customHeight="1"/>
    <row r="76" s="149" customFormat="1" ht="15" customHeight="1"/>
    <row r="77" s="149" customFormat="1" ht="15" customHeight="1"/>
    <row r="78" s="149" customFormat="1" ht="15" customHeight="1"/>
    <row r="79" s="149" customFormat="1" ht="15" customHeight="1"/>
    <row r="80" s="149" customFormat="1" ht="15" customHeight="1"/>
    <row r="81" spans="5:5" s="149" customFormat="1" ht="15" customHeight="1"/>
    <row r="82" spans="5:5" s="149" customFormat="1" ht="15" customHeight="1"/>
    <row r="83" spans="5:5" s="149" customFormat="1" ht="15" customHeight="1"/>
    <row r="84" spans="5:5" s="149" customFormat="1" ht="15" customHeight="1"/>
    <row r="85" spans="5:5" s="149" customFormat="1" ht="15" customHeight="1"/>
    <row r="86" spans="5:5" s="149" customFormat="1" ht="15" customHeight="1"/>
    <row r="87" spans="5:5" s="149" customFormat="1" ht="15" customHeight="1"/>
    <row r="88" spans="5:5" s="149" customFormat="1" ht="15" customHeight="1"/>
    <row r="89" spans="5:5" ht="15" customHeight="1">
      <c r="E89" s="182"/>
    </row>
  </sheetData>
  <mergeCells count="22">
    <mergeCell ref="A36:G36"/>
    <mergeCell ref="B2:G2"/>
    <mergeCell ref="B3:G3"/>
    <mergeCell ref="A5:E5"/>
    <mergeCell ref="A28:G28"/>
    <mergeCell ref="A29:G29"/>
    <mergeCell ref="A30:G30"/>
    <mergeCell ref="A31:G31"/>
    <mergeCell ref="A32:G32"/>
    <mergeCell ref="A33:G33"/>
    <mergeCell ref="A34:G34"/>
    <mergeCell ref="A35:G35"/>
    <mergeCell ref="A43:G43"/>
    <mergeCell ref="A44:G44"/>
    <mergeCell ref="A45:G45"/>
    <mergeCell ref="A46:G46"/>
    <mergeCell ref="A37:G37"/>
    <mergeCell ref="A38:G38"/>
    <mergeCell ref="A39:G39"/>
    <mergeCell ref="A40:G40"/>
    <mergeCell ref="A41:G41"/>
    <mergeCell ref="A42:G42"/>
  </mergeCells>
  <pageMargins left="0.9" right="0.36" top="1" bottom="1" header="0.5" footer="0.5"/>
  <pageSetup paperSize="9" scale="83" orientation="portrait" r:id="rId1"/>
  <headerFooter alignWithMargins="0">
    <oddFooter>&amp;LTariff Petition for determination of tariff for FY 2015-16, approval of estimate for 2014-15 and truing up for  FY 2012-13 to FY 2013-14 for RPH</oddFooter>
  </headerFooter>
</worksheet>
</file>

<file path=xl/worksheets/sheet16.xml><?xml version="1.0" encoding="utf-8"?>
<worksheet xmlns="http://schemas.openxmlformats.org/spreadsheetml/2006/main" xmlns:r="http://schemas.openxmlformats.org/officeDocument/2006/relationships">
  <sheetPr enableFormatConditionsCalculation="0">
    <tabColor indexed="13"/>
    <pageSetUpPr fitToPage="1"/>
  </sheetPr>
  <dimension ref="A1:I95"/>
  <sheetViews>
    <sheetView showGridLines="0" topLeftCell="A5" zoomScaleSheetLayoutView="75" workbookViewId="0">
      <selection activeCell="G5" sqref="G5"/>
    </sheetView>
  </sheetViews>
  <sheetFormatPr defaultRowHeight="15" customHeight="1"/>
  <cols>
    <col min="1" max="1" width="34.140625" style="157" customWidth="1"/>
    <col min="2" max="6" width="12.5703125" style="157" customWidth="1"/>
    <col min="7" max="7" width="11.7109375" style="157" bestFit="1" customWidth="1"/>
    <col min="8" max="8" width="9.7109375" style="157" customWidth="1"/>
    <col min="9" max="16384" width="9.140625" style="157"/>
  </cols>
  <sheetData>
    <row r="1" spans="1:7" ht="15" customHeight="1">
      <c r="A1" s="72"/>
      <c r="B1" s="72"/>
      <c r="C1" s="131"/>
      <c r="D1" s="131"/>
      <c r="E1" s="131"/>
      <c r="F1" s="131"/>
      <c r="G1" s="131"/>
    </row>
    <row r="2" spans="1:7" ht="15" customHeight="1">
      <c r="A2" s="106" t="str">
        <f>Index!A2</f>
        <v>Name of Company:</v>
      </c>
      <c r="B2" s="401" t="str">
        <f>Index!D2</f>
        <v>INDRAPRASTHA POWER GENERATION COMPANY LIMITED</v>
      </c>
      <c r="C2" s="401"/>
      <c r="D2" s="401"/>
      <c r="E2" s="401"/>
      <c r="F2" s="401"/>
      <c r="G2" s="401"/>
    </row>
    <row r="3" spans="1:7" ht="15" customHeight="1">
      <c r="A3" s="106" t="str">
        <f>Index!A3</f>
        <v>Name of Plant/  Station:</v>
      </c>
      <c r="B3" s="401" t="str">
        <f>Index!D3</f>
        <v>Rajghat Power House</v>
      </c>
      <c r="C3" s="401"/>
      <c r="D3" s="401"/>
      <c r="E3" s="401"/>
      <c r="F3" s="401"/>
      <c r="G3" s="401"/>
    </row>
    <row r="4" spans="1:7" ht="15" customHeight="1">
      <c r="A4" s="72"/>
      <c r="B4" s="72"/>
      <c r="C4" s="132"/>
      <c r="D4" s="132"/>
      <c r="E4" s="132"/>
      <c r="F4" s="132"/>
      <c r="G4" s="132"/>
    </row>
    <row r="5" spans="1:7" ht="15" customHeight="1">
      <c r="A5" s="429" t="str">
        <f>Index!D22</f>
        <v>Details of Allocation of corporate loans to various projects</v>
      </c>
      <c r="B5" s="429"/>
      <c r="C5" s="429"/>
      <c r="D5" s="429"/>
      <c r="E5" s="429"/>
      <c r="F5" s="318" t="s">
        <v>156</v>
      </c>
      <c r="G5" s="207" t="str">
        <f>Index!C22</f>
        <v>F15</v>
      </c>
    </row>
    <row r="6" spans="1:7" ht="15" customHeight="1">
      <c r="F6" s="152"/>
      <c r="G6" s="10" t="s">
        <v>683</v>
      </c>
    </row>
    <row r="7" spans="1:7" ht="15" customHeight="1">
      <c r="A7" s="183" t="s">
        <v>18</v>
      </c>
      <c r="B7" s="184" t="s">
        <v>583</v>
      </c>
      <c r="C7" s="184" t="s">
        <v>584</v>
      </c>
      <c r="D7" s="184" t="s">
        <v>585</v>
      </c>
      <c r="E7" s="184" t="s">
        <v>586</v>
      </c>
      <c r="F7" s="184" t="s">
        <v>587</v>
      </c>
      <c r="G7" s="184" t="s">
        <v>588</v>
      </c>
    </row>
    <row r="8" spans="1:7" ht="15" customHeight="1">
      <c r="A8" s="185" t="s">
        <v>558</v>
      </c>
      <c r="B8" s="185"/>
      <c r="C8" s="185"/>
      <c r="D8" s="185"/>
      <c r="E8" s="185"/>
      <c r="F8" s="185"/>
      <c r="G8" s="185"/>
    </row>
    <row r="9" spans="1:7" ht="15" customHeight="1">
      <c r="A9" s="185" t="s">
        <v>559</v>
      </c>
      <c r="B9" s="185"/>
      <c r="C9" s="185"/>
      <c r="D9" s="185"/>
      <c r="E9" s="185"/>
      <c r="F9" s="185"/>
      <c r="G9" s="185"/>
    </row>
    <row r="10" spans="1:7" ht="15" customHeight="1">
      <c r="A10" s="185" t="s">
        <v>551</v>
      </c>
      <c r="B10" s="185"/>
      <c r="C10" s="185"/>
      <c r="D10" s="185"/>
      <c r="E10" s="185"/>
      <c r="F10" s="185"/>
      <c r="G10" s="185"/>
    </row>
    <row r="11" spans="1:7" ht="27">
      <c r="A11" s="186" t="s">
        <v>589</v>
      </c>
      <c r="B11" s="185"/>
      <c r="C11" s="185"/>
      <c r="D11" s="185"/>
      <c r="E11" s="185"/>
      <c r="F11" s="185"/>
      <c r="G11" s="185"/>
    </row>
    <row r="12" spans="1:7" ht="15" customHeight="1">
      <c r="A12" s="185" t="s">
        <v>560</v>
      </c>
      <c r="B12" s="185"/>
      <c r="C12" s="185"/>
      <c r="D12" s="185"/>
      <c r="E12" s="185"/>
      <c r="F12" s="185"/>
      <c r="G12" s="185"/>
    </row>
    <row r="13" spans="1:7" ht="15" customHeight="1">
      <c r="A13" s="185" t="s">
        <v>552</v>
      </c>
      <c r="B13" s="185"/>
      <c r="C13" s="185"/>
      <c r="D13" s="185"/>
      <c r="E13" s="185"/>
      <c r="F13" s="185"/>
      <c r="G13" s="185"/>
    </row>
    <row r="14" spans="1:7" ht="15" customHeight="1">
      <c r="A14" s="185" t="s">
        <v>561</v>
      </c>
      <c r="B14" s="185"/>
      <c r="C14" s="185"/>
      <c r="D14" s="185"/>
      <c r="E14" s="185"/>
      <c r="F14" s="185"/>
      <c r="G14" s="185"/>
    </row>
    <row r="15" spans="1:7" ht="15" customHeight="1">
      <c r="A15" s="185" t="s">
        <v>562</v>
      </c>
      <c r="B15" s="185" t="s">
        <v>553</v>
      </c>
      <c r="C15" s="185" t="s">
        <v>553</v>
      </c>
      <c r="D15" s="185" t="s">
        <v>553</v>
      </c>
      <c r="E15" s="185" t="s">
        <v>553</v>
      </c>
      <c r="F15" s="185" t="s">
        <v>553</v>
      </c>
      <c r="G15" s="185" t="s">
        <v>553</v>
      </c>
    </row>
    <row r="16" spans="1:7" ht="15" customHeight="1">
      <c r="A16" s="185" t="s">
        <v>563</v>
      </c>
      <c r="B16" s="185"/>
      <c r="C16" s="185"/>
      <c r="D16" s="185"/>
      <c r="E16" s="185"/>
      <c r="F16" s="185"/>
      <c r="G16" s="185"/>
    </row>
    <row r="17" spans="1:7" ht="15" customHeight="1">
      <c r="A17" s="185" t="s">
        <v>554</v>
      </c>
      <c r="B17" s="185"/>
      <c r="C17" s="185"/>
      <c r="D17" s="185"/>
      <c r="E17" s="185"/>
      <c r="F17" s="185"/>
      <c r="G17" s="185"/>
    </row>
    <row r="18" spans="1:7" ht="15" customHeight="1">
      <c r="A18" s="185" t="s">
        <v>564</v>
      </c>
      <c r="B18" s="185"/>
      <c r="C18" s="185"/>
      <c r="D18" s="185"/>
      <c r="E18" s="185"/>
      <c r="F18" s="185"/>
      <c r="G18" s="185"/>
    </row>
    <row r="19" spans="1:7" ht="15" customHeight="1">
      <c r="A19" s="185" t="s">
        <v>555</v>
      </c>
      <c r="B19" s="185"/>
      <c r="C19" s="185"/>
      <c r="D19" s="185"/>
      <c r="E19" s="185"/>
      <c r="F19" s="185"/>
      <c r="G19" s="185"/>
    </row>
    <row r="20" spans="1:7" ht="15" customHeight="1">
      <c r="A20" s="185" t="s">
        <v>565</v>
      </c>
      <c r="B20" s="185"/>
      <c r="C20" s="185"/>
      <c r="D20" s="185"/>
      <c r="E20" s="185"/>
      <c r="F20" s="185"/>
      <c r="G20" s="185"/>
    </row>
    <row r="21" spans="1:7" ht="15" customHeight="1">
      <c r="A21" s="185" t="s">
        <v>556</v>
      </c>
      <c r="B21" s="185"/>
      <c r="C21" s="185"/>
      <c r="D21" s="185"/>
      <c r="E21" s="185"/>
      <c r="F21" s="185"/>
      <c r="G21" s="185"/>
    </row>
    <row r="22" spans="1:7" ht="15" customHeight="1">
      <c r="A22" s="185" t="s">
        <v>566</v>
      </c>
      <c r="B22" s="185"/>
      <c r="C22" s="185"/>
      <c r="D22" s="185"/>
      <c r="E22" s="185"/>
      <c r="F22" s="185"/>
      <c r="G22" s="185"/>
    </row>
    <row r="23" spans="1:7" ht="15" customHeight="1">
      <c r="A23" s="185" t="s">
        <v>567</v>
      </c>
      <c r="B23" s="185"/>
      <c r="C23" s="185"/>
      <c r="D23" s="185"/>
      <c r="E23" s="185"/>
      <c r="F23" s="185"/>
      <c r="G23" s="185"/>
    </row>
    <row r="24" spans="1:7" ht="15" customHeight="1">
      <c r="A24" s="185" t="s">
        <v>568</v>
      </c>
      <c r="B24" s="185"/>
      <c r="C24" s="185"/>
      <c r="D24" s="185"/>
      <c r="E24" s="185"/>
      <c r="F24" s="185"/>
      <c r="G24" s="185"/>
    </row>
    <row r="25" spans="1:7" ht="15" customHeight="1">
      <c r="A25" s="185" t="s">
        <v>557</v>
      </c>
      <c r="B25" s="185"/>
      <c r="C25" s="185"/>
      <c r="D25" s="185"/>
      <c r="E25" s="185"/>
      <c r="F25" s="185"/>
      <c r="G25" s="185"/>
    </row>
    <row r="26" spans="1:7" ht="15" customHeight="1">
      <c r="A26" s="185" t="s">
        <v>594</v>
      </c>
      <c r="B26" s="185"/>
      <c r="C26" s="185"/>
      <c r="D26" s="185"/>
      <c r="E26" s="185"/>
      <c r="F26" s="185"/>
      <c r="G26" s="185"/>
    </row>
    <row r="27" spans="1:7" ht="15" customHeight="1">
      <c r="A27" s="187"/>
      <c r="B27" s="187"/>
      <c r="C27" s="187"/>
      <c r="D27" s="187"/>
      <c r="E27" s="187"/>
      <c r="F27" s="187"/>
      <c r="G27" s="187"/>
    </row>
    <row r="28" spans="1:7" ht="15" customHeight="1">
      <c r="A28" s="459" t="s">
        <v>597</v>
      </c>
      <c r="B28" s="460"/>
      <c r="C28" s="460"/>
      <c r="D28" s="460"/>
      <c r="E28" s="460"/>
      <c r="F28" s="460"/>
      <c r="G28" s="461"/>
    </row>
    <row r="29" spans="1:7" ht="15" customHeight="1">
      <c r="A29" s="184" t="s">
        <v>598</v>
      </c>
      <c r="B29" s="185"/>
      <c r="C29" s="185"/>
      <c r="D29" s="185"/>
      <c r="E29" s="185"/>
      <c r="F29" s="185"/>
      <c r="G29" s="184" t="s">
        <v>17</v>
      </c>
    </row>
    <row r="30" spans="1:7" ht="15" customHeight="1">
      <c r="A30" s="185" t="s">
        <v>599</v>
      </c>
      <c r="B30" s="185"/>
      <c r="C30" s="185"/>
      <c r="D30" s="185"/>
      <c r="E30" s="185"/>
      <c r="F30" s="185"/>
      <c r="G30" s="185"/>
    </row>
    <row r="31" spans="1:7" ht="15" customHeight="1">
      <c r="A31" s="185" t="s">
        <v>600</v>
      </c>
      <c r="B31" s="185"/>
      <c r="C31" s="185"/>
      <c r="D31" s="185"/>
      <c r="E31" s="185"/>
      <c r="F31" s="185"/>
      <c r="G31" s="185"/>
    </row>
    <row r="32" spans="1:7" ht="15" customHeight="1">
      <c r="A32" s="185" t="s">
        <v>601</v>
      </c>
      <c r="B32" s="185"/>
      <c r="C32" s="185"/>
      <c r="D32" s="185"/>
      <c r="E32" s="185"/>
      <c r="F32" s="185"/>
      <c r="G32" s="185"/>
    </row>
    <row r="34" spans="1:9" ht="15" customHeight="1">
      <c r="A34" s="457" t="s">
        <v>569</v>
      </c>
      <c r="B34" s="457"/>
      <c r="C34" s="457"/>
      <c r="D34" s="457"/>
      <c r="E34" s="457"/>
      <c r="F34" s="457"/>
      <c r="G34" s="457"/>
      <c r="H34" s="180"/>
    </row>
    <row r="35" spans="1:9" ht="15" customHeight="1">
      <c r="A35" s="457" t="s">
        <v>570</v>
      </c>
      <c r="B35" s="457"/>
      <c r="C35" s="457"/>
      <c r="D35" s="457"/>
      <c r="E35" s="457"/>
      <c r="F35" s="457"/>
      <c r="G35" s="457"/>
      <c r="H35" s="180"/>
    </row>
    <row r="36" spans="1:9" ht="15" customHeight="1">
      <c r="A36" s="457" t="s">
        <v>590</v>
      </c>
      <c r="B36" s="457"/>
      <c r="C36" s="457"/>
      <c r="D36" s="457"/>
      <c r="E36" s="457"/>
      <c r="F36" s="457"/>
      <c r="G36" s="457"/>
      <c r="H36" s="180"/>
    </row>
    <row r="37" spans="1:9" ht="29.25" customHeight="1">
      <c r="A37" s="457" t="s">
        <v>571</v>
      </c>
      <c r="B37" s="457"/>
      <c r="C37" s="457"/>
      <c r="D37" s="457"/>
      <c r="E37" s="457"/>
      <c r="F37" s="457"/>
      <c r="G37" s="457"/>
      <c r="H37" s="181"/>
    </row>
    <row r="38" spans="1:9" ht="15" customHeight="1">
      <c r="A38" s="457" t="s">
        <v>572</v>
      </c>
      <c r="B38" s="457"/>
      <c r="C38" s="457"/>
      <c r="D38" s="457"/>
      <c r="E38" s="457"/>
      <c r="F38" s="457"/>
      <c r="G38" s="457"/>
      <c r="H38" s="180"/>
    </row>
    <row r="39" spans="1:9" ht="15" customHeight="1">
      <c r="A39" s="457" t="s">
        <v>573</v>
      </c>
      <c r="B39" s="457"/>
      <c r="C39" s="457"/>
      <c r="D39" s="457"/>
      <c r="E39" s="457"/>
      <c r="F39" s="457"/>
      <c r="G39" s="457"/>
      <c r="H39" s="180"/>
    </row>
    <row r="40" spans="1:9" ht="27.75" customHeight="1">
      <c r="A40" s="457" t="s">
        <v>574</v>
      </c>
      <c r="B40" s="457"/>
      <c r="C40" s="457"/>
      <c r="D40" s="457"/>
      <c r="E40" s="457"/>
      <c r="F40" s="457"/>
      <c r="G40" s="457"/>
      <c r="H40" s="180"/>
    </row>
    <row r="41" spans="1:9" ht="15" customHeight="1">
      <c r="A41" s="457" t="s">
        <v>575</v>
      </c>
      <c r="B41" s="457"/>
      <c r="C41" s="457"/>
      <c r="D41" s="457"/>
      <c r="E41" s="457"/>
      <c r="F41" s="457"/>
      <c r="G41" s="457"/>
      <c r="H41" s="180"/>
    </row>
    <row r="42" spans="1:9" ht="15" customHeight="1">
      <c r="A42" s="457" t="s">
        <v>591</v>
      </c>
      <c r="B42" s="457"/>
      <c r="C42" s="457"/>
      <c r="D42" s="457"/>
      <c r="E42" s="457"/>
      <c r="F42" s="457"/>
      <c r="G42" s="457"/>
      <c r="H42" s="180"/>
    </row>
    <row r="43" spans="1:9" ht="15" customHeight="1">
      <c r="A43" s="457" t="s">
        <v>576</v>
      </c>
      <c r="B43" s="457"/>
      <c r="C43" s="457"/>
      <c r="D43" s="457"/>
      <c r="E43" s="457"/>
      <c r="F43" s="457"/>
      <c r="G43" s="457"/>
      <c r="H43" s="180"/>
    </row>
    <row r="44" spans="1:9" ht="15" customHeight="1">
      <c r="A44" s="457" t="s">
        <v>577</v>
      </c>
      <c r="B44" s="457"/>
      <c r="C44" s="457"/>
      <c r="D44" s="457"/>
      <c r="E44" s="457"/>
      <c r="F44" s="457"/>
      <c r="G44" s="457"/>
      <c r="H44" s="180"/>
    </row>
    <row r="45" spans="1:9" ht="15" customHeight="1">
      <c r="A45" s="457" t="s">
        <v>578</v>
      </c>
      <c r="B45" s="457"/>
      <c r="C45" s="457"/>
      <c r="D45" s="457"/>
      <c r="E45" s="457"/>
      <c r="F45" s="457"/>
      <c r="G45" s="457"/>
      <c r="H45" s="180"/>
    </row>
    <row r="46" spans="1:9" ht="15" customHeight="1">
      <c r="A46" s="457" t="s">
        <v>579</v>
      </c>
      <c r="B46" s="457"/>
      <c r="C46" s="457"/>
      <c r="D46" s="457"/>
      <c r="E46" s="457"/>
      <c r="F46" s="457"/>
      <c r="G46" s="457"/>
      <c r="H46" s="180"/>
      <c r="I46" s="181"/>
    </row>
    <row r="47" spans="1:9" ht="15" customHeight="1">
      <c r="A47" s="457" t="s">
        <v>580</v>
      </c>
      <c r="B47" s="457"/>
      <c r="C47" s="457"/>
      <c r="D47" s="457"/>
      <c r="E47" s="457"/>
      <c r="F47" s="457"/>
      <c r="G47" s="457"/>
      <c r="H47" s="180"/>
      <c r="I47" s="181"/>
    </row>
    <row r="48" spans="1:9" ht="15" customHeight="1">
      <c r="A48" s="457" t="s">
        <v>581</v>
      </c>
      <c r="B48" s="457"/>
      <c r="C48" s="457"/>
      <c r="D48" s="457"/>
      <c r="E48" s="457"/>
      <c r="F48" s="457"/>
      <c r="G48" s="457"/>
      <c r="H48" s="180"/>
    </row>
    <row r="49" spans="1:8" ht="15" customHeight="1">
      <c r="A49" s="457" t="s">
        <v>595</v>
      </c>
      <c r="B49" s="457"/>
      <c r="C49" s="457"/>
      <c r="D49" s="457"/>
      <c r="E49" s="457"/>
      <c r="F49" s="457"/>
      <c r="G49" s="457"/>
      <c r="H49" s="180"/>
    </row>
    <row r="50" spans="1:8" ht="15" customHeight="1">
      <c r="A50" s="457" t="s">
        <v>582</v>
      </c>
      <c r="B50" s="457"/>
      <c r="C50" s="457"/>
      <c r="D50" s="457"/>
      <c r="E50" s="457"/>
      <c r="F50" s="457"/>
      <c r="G50" s="457"/>
    </row>
    <row r="51" spans="1:8" ht="15" customHeight="1">
      <c r="A51" s="457" t="s">
        <v>592</v>
      </c>
      <c r="B51" s="457"/>
      <c r="C51" s="457"/>
      <c r="D51" s="457"/>
      <c r="E51" s="457"/>
      <c r="F51" s="457"/>
      <c r="G51" s="457"/>
    </row>
    <row r="52" spans="1:8" ht="27" customHeight="1">
      <c r="A52" s="458" t="s">
        <v>593</v>
      </c>
      <c r="B52" s="458"/>
      <c r="C52" s="458"/>
      <c r="D52" s="458"/>
      <c r="E52" s="458"/>
      <c r="F52" s="458"/>
      <c r="G52" s="458"/>
    </row>
    <row r="53" spans="1:8" s="149" customFormat="1" ht="15" customHeight="1"/>
    <row r="54" spans="1:8" s="149" customFormat="1" ht="15" customHeight="1"/>
    <row r="55" spans="1:8" s="149" customFormat="1" ht="15" customHeight="1"/>
    <row r="56" spans="1:8" s="149" customFormat="1" ht="15" customHeight="1"/>
    <row r="57" spans="1:8" s="149" customFormat="1" ht="15" customHeight="1">
      <c r="F57" s="182" t="s">
        <v>208</v>
      </c>
    </row>
    <row r="58" spans="1:8" s="149" customFormat="1" ht="15" customHeight="1"/>
    <row r="59" spans="1:8" s="149" customFormat="1" ht="15" customHeight="1"/>
    <row r="60" spans="1:8" s="149" customFormat="1" ht="15" customHeight="1"/>
    <row r="61" spans="1:8" s="149" customFormat="1" ht="15" customHeight="1"/>
    <row r="62" spans="1:8" s="149" customFormat="1" ht="15" customHeight="1"/>
    <row r="63" spans="1:8" s="149" customFormat="1" ht="15" customHeight="1"/>
    <row r="64" spans="1:8" s="149" customFormat="1" ht="15" customHeight="1"/>
    <row r="65" s="149" customFormat="1" ht="15" customHeight="1"/>
    <row r="66" s="149" customFormat="1" ht="15" customHeight="1"/>
    <row r="67" s="149" customFormat="1" ht="15" customHeight="1"/>
    <row r="68" s="149" customFormat="1" ht="15" customHeight="1"/>
    <row r="69" s="149" customFormat="1" ht="15" customHeight="1"/>
    <row r="70" s="149" customFormat="1" ht="15" customHeight="1"/>
    <row r="71" s="149" customFormat="1" ht="15" customHeight="1"/>
    <row r="72" s="149" customFormat="1" ht="15" customHeight="1"/>
    <row r="73" s="149" customFormat="1" ht="15" customHeight="1"/>
    <row r="74" s="149" customFormat="1" ht="15" customHeight="1"/>
    <row r="75" s="149" customFormat="1" ht="15" customHeight="1"/>
    <row r="76" s="149" customFormat="1" ht="15" customHeight="1"/>
    <row r="77" s="149" customFormat="1" ht="15" customHeight="1"/>
    <row r="78" s="149" customFormat="1" ht="15" customHeight="1"/>
    <row r="79" s="149" customFormat="1" ht="15" customHeight="1"/>
    <row r="80" s="149" customFormat="1" ht="15" customHeight="1"/>
    <row r="81" spans="5:5" s="149" customFormat="1" ht="15" customHeight="1"/>
    <row r="82" spans="5:5" s="149" customFormat="1" ht="15" customHeight="1"/>
    <row r="83" spans="5:5" s="149" customFormat="1" ht="15" customHeight="1"/>
    <row r="84" spans="5:5" s="149" customFormat="1" ht="15" customHeight="1"/>
    <row r="85" spans="5:5" s="149" customFormat="1" ht="15" customHeight="1"/>
    <row r="86" spans="5:5" s="149" customFormat="1" ht="15" customHeight="1"/>
    <row r="87" spans="5:5" s="149" customFormat="1" ht="15" customHeight="1"/>
    <row r="88" spans="5:5" s="149" customFormat="1" ht="15" customHeight="1"/>
    <row r="89" spans="5:5" s="149" customFormat="1" ht="15" customHeight="1"/>
    <row r="90" spans="5:5" s="149" customFormat="1" ht="15" customHeight="1"/>
    <row r="91" spans="5:5" s="149" customFormat="1" ht="15" customHeight="1"/>
    <row r="92" spans="5:5" s="149" customFormat="1" ht="15" customHeight="1"/>
    <row r="93" spans="5:5" s="149" customFormat="1" ht="15" customHeight="1"/>
    <row r="94" spans="5:5" s="149" customFormat="1" ht="15" customHeight="1"/>
    <row r="95" spans="5:5" ht="15" customHeight="1">
      <c r="E95" s="182"/>
    </row>
  </sheetData>
  <mergeCells count="23">
    <mergeCell ref="B2:G2"/>
    <mergeCell ref="B3:G3"/>
    <mergeCell ref="A5:E5"/>
    <mergeCell ref="A34:G34"/>
    <mergeCell ref="A28:G28"/>
    <mergeCell ref="A35:G35"/>
    <mergeCell ref="A36:G36"/>
    <mergeCell ref="A46:G46"/>
    <mergeCell ref="A47:G47"/>
    <mergeCell ref="A48:G48"/>
    <mergeCell ref="A37:G37"/>
    <mergeCell ref="A38:G38"/>
    <mergeCell ref="A39:G39"/>
    <mergeCell ref="A40:G40"/>
    <mergeCell ref="A41:G41"/>
    <mergeCell ref="A42:G42"/>
    <mergeCell ref="A52:G52"/>
    <mergeCell ref="A43:G43"/>
    <mergeCell ref="A44:G44"/>
    <mergeCell ref="A45:G45"/>
    <mergeCell ref="A49:G49"/>
    <mergeCell ref="A50:G50"/>
    <mergeCell ref="A51:G51"/>
  </mergeCells>
  <phoneticPr fontId="0" type="noConversion"/>
  <pageMargins left="0.9" right="0.36" top="1" bottom="1" header="0.5" footer="0.5"/>
  <pageSetup paperSize="9" scale="78" orientation="portrait" r:id="rId1"/>
  <headerFooter alignWithMargins="0">
    <oddFooter>&amp;LTariff Petition for determination of tariff for FY 2015-16, approval of estimate for 2014-15 and truing up for  FY 2012-13 to FY 2013-14 for RPH</oddFooter>
  </headerFooter>
</worksheet>
</file>

<file path=xl/worksheets/sheet17.xml><?xml version="1.0" encoding="utf-8"?>
<worksheet xmlns="http://schemas.openxmlformats.org/spreadsheetml/2006/main" xmlns:r="http://schemas.openxmlformats.org/officeDocument/2006/relationships">
  <sheetPr enableFormatConditionsCalculation="0">
    <tabColor indexed="50"/>
    <pageSetUpPr fitToPage="1"/>
  </sheetPr>
  <dimension ref="A1:J30"/>
  <sheetViews>
    <sheetView showGridLines="0" topLeftCell="A4" zoomScaleSheetLayoutView="75" workbookViewId="0">
      <selection activeCell="H13" sqref="H13"/>
    </sheetView>
  </sheetViews>
  <sheetFormatPr defaultRowHeight="15" customHeight="1"/>
  <cols>
    <col min="1" max="1" width="7" style="190" customWidth="1"/>
    <col min="2" max="2" width="42.5703125" style="190" customWidth="1"/>
    <col min="3" max="3" width="10.42578125" style="190" customWidth="1"/>
    <col min="4" max="4" width="10" style="190" customWidth="1"/>
    <col min="5" max="5" width="9.5703125" style="190" customWidth="1"/>
    <col min="6" max="6" width="21.42578125" style="190" customWidth="1"/>
    <col min="7" max="7" width="23.28515625" style="190" customWidth="1"/>
    <col min="8" max="8" width="14" style="190" customWidth="1"/>
    <col min="9" max="16384" width="9.140625" style="190"/>
  </cols>
  <sheetData>
    <row r="1" spans="1:10" ht="15" customHeight="1">
      <c r="A1" s="398"/>
      <c r="B1" s="398"/>
      <c r="C1" s="398"/>
      <c r="D1" s="398"/>
      <c r="E1" s="398"/>
      <c r="F1" s="398"/>
      <c r="G1" s="398"/>
      <c r="H1" s="188"/>
      <c r="I1" s="169"/>
      <c r="J1" s="189"/>
    </row>
    <row r="2" spans="1:10" ht="15" customHeight="1">
      <c r="A2" s="400" t="str">
        <f>Index!A2</f>
        <v>Name of Company:</v>
      </c>
      <c r="B2" s="400"/>
      <c r="C2" s="401" t="str">
        <f>Index!D2</f>
        <v>INDRAPRASTHA POWER GENERATION COMPANY LIMITED</v>
      </c>
      <c r="D2" s="401"/>
      <c r="E2" s="401"/>
      <c r="F2" s="401"/>
      <c r="G2" s="401"/>
      <c r="H2" s="191"/>
      <c r="I2" s="191"/>
      <c r="J2" s="189"/>
    </row>
    <row r="3" spans="1:10" ht="15" customHeight="1">
      <c r="A3" s="400" t="str">
        <f>Index!A3</f>
        <v>Name of Plant/  Station:</v>
      </c>
      <c r="B3" s="400"/>
      <c r="C3" s="401" t="str">
        <f>Index!D3</f>
        <v>Rajghat Power House</v>
      </c>
      <c r="D3" s="401"/>
      <c r="E3" s="401"/>
      <c r="F3" s="401"/>
      <c r="G3" s="401"/>
      <c r="H3" s="189"/>
      <c r="I3" s="189"/>
      <c r="J3" s="189"/>
    </row>
    <row r="4" spans="1:10" ht="15" customHeight="1">
      <c r="A4" s="72"/>
      <c r="B4" s="72"/>
      <c r="C4" s="132"/>
      <c r="D4" s="132"/>
      <c r="E4" s="132"/>
      <c r="F4" s="189"/>
      <c r="G4" s="189"/>
      <c r="H4" s="189"/>
      <c r="I4" s="189"/>
      <c r="J4" s="189"/>
    </row>
    <row r="5" spans="1:10" ht="15" customHeight="1">
      <c r="A5" s="309" t="str">
        <f>Index!D23</f>
        <v>Statement of Additional Capitalisation after COD</v>
      </c>
      <c r="B5" s="309"/>
      <c r="C5" s="309"/>
      <c r="D5" s="309"/>
      <c r="E5" s="309"/>
      <c r="F5" s="318" t="s">
        <v>156</v>
      </c>
      <c r="G5" s="207" t="str">
        <f>Index!C23</f>
        <v>F16</v>
      </c>
      <c r="H5" s="189"/>
      <c r="I5" s="189"/>
      <c r="J5" s="189"/>
    </row>
    <row r="6" spans="1:10" ht="15" customHeight="1">
      <c r="G6" s="10" t="s">
        <v>683</v>
      </c>
    </row>
    <row r="7" spans="1:10" ht="63.75" customHeight="1">
      <c r="A7" s="192" t="s">
        <v>509</v>
      </c>
      <c r="B7" s="193" t="s">
        <v>608</v>
      </c>
      <c r="C7" s="466" t="s">
        <v>609</v>
      </c>
      <c r="D7" s="467"/>
      <c r="E7" s="467"/>
      <c r="F7" s="193" t="s">
        <v>610</v>
      </c>
      <c r="G7" s="194" t="s">
        <v>603</v>
      </c>
    </row>
    <row r="8" spans="1:10" ht="15" customHeight="1">
      <c r="A8" s="192"/>
      <c r="B8" s="192"/>
      <c r="C8" s="164" t="s">
        <v>165</v>
      </c>
      <c r="D8" s="164" t="s">
        <v>166</v>
      </c>
      <c r="E8" s="164" t="s">
        <v>167</v>
      </c>
      <c r="F8" s="192"/>
      <c r="G8" s="192"/>
    </row>
    <row r="9" spans="1:10" ht="15" customHeight="1">
      <c r="A9" s="195">
        <v>1</v>
      </c>
      <c r="B9" s="361" t="s">
        <v>759</v>
      </c>
      <c r="C9" s="375">
        <f>71399.77/10000000</f>
        <v>7.1399770000000005E-3</v>
      </c>
      <c r="D9" s="375">
        <f>31234.33/10000000</f>
        <v>3.1234330000000001E-3</v>
      </c>
      <c r="E9" s="376"/>
      <c r="F9" s="196"/>
      <c r="G9" s="196"/>
    </row>
    <row r="10" spans="1:10" ht="15" customHeight="1">
      <c r="A10" s="195">
        <v>2</v>
      </c>
      <c r="B10" s="108" t="s">
        <v>765</v>
      </c>
      <c r="C10" s="375">
        <f>82341.77/10000000</f>
        <v>8.2341770000000005E-3</v>
      </c>
      <c r="D10" s="375">
        <f>505931.1/10000000</f>
        <v>5.0593109999999997E-2</v>
      </c>
      <c r="E10" s="376"/>
      <c r="F10" s="196"/>
      <c r="G10" s="196"/>
    </row>
    <row r="11" spans="1:10" ht="15" customHeight="1">
      <c r="A11" s="195">
        <v>3</v>
      </c>
      <c r="B11" s="361" t="s">
        <v>760</v>
      </c>
      <c r="C11" s="375">
        <f>209100/10000000</f>
        <v>2.0910000000000002E-2</v>
      </c>
      <c r="D11" s="376"/>
      <c r="E11" s="376"/>
      <c r="F11" s="196"/>
      <c r="G11" s="196"/>
    </row>
    <row r="12" spans="1:10" ht="15" customHeight="1">
      <c r="A12" s="195">
        <v>4</v>
      </c>
      <c r="B12" s="361" t="s">
        <v>761</v>
      </c>
      <c r="C12" s="375">
        <f>547557/10000000</f>
        <v>5.4755699999999997E-2</v>
      </c>
      <c r="D12" s="375">
        <f>716510/10000000</f>
        <v>7.1651000000000006E-2</v>
      </c>
      <c r="E12" s="378">
        <f>120975.5/10000000</f>
        <v>1.209755E-2</v>
      </c>
      <c r="F12" s="196"/>
      <c r="G12" s="196"/>
    </row>
    <row r="13" spans="1:10" ht="15" customHeight="1">
      <c r="A13" s="195">
        <v>5</v>
      </c>
      <c r="B13" s="361" t="s">
        <v>762</v>
      </c>
      <c r="C13" s="375">
        <f>52745918.68/10000000</f>
        <v>5.2745918679999999</v>
      </c>
      <c r="D13" s="375">
        <f>29218409.47/10000000</f>
        <v>2.9218409469999997</v>
      </c>
      <c r="E13" s="376"/>
      <c r="F13" s="196"/>
      <c r="G13" s="196"/>
    </row>
    <row r="14" spans="1:10" ht="15" customHeight="1">
      <c r="A14" s="195">
        <v>6</v>
      </c>
      <c r="B14" s="361" t="s">
        <v>763</v>
      </c>
      <c r="C14" s="375">
        <f>130783.23/10000000</f>
        <v>1.3078322999999999E-2</v>
      </c>
      <c r="D14" s="376"/>
      <c r="E14" s="376"/>
      <c r="F14" s="196"/>
      <c r="G14" s="196"/>
    </row>
    <row r="15" spans="1:10" ht="15" customHeight="1">
      <c r="A15" s="195">
        <v>7</v>
      </c>
      <c r="B15" s="361" t="s">
        <v>10</v>
      </c>
      <c r="C15" s="375">
        <f>2100000/10000000</f>
        <v>0.21</v>
      </c>
      <c r="D15" s="375">
        <f>1000000/10000000</f>
        <v>0.1</v>
      </c>
      <c r="E15" s="376"/>
      <c r="F15" s="196"/>
      <c r="G15" s="196"/>
    </row>
    <row r="16" spans="1:10" ht="15" customHeight="1">
      <c r="A16" s="195">
        <v>8</v>
      </c>
      <c r="B16" s="361" t="s">
        <v>766</v>
      </c>
      <c r="C16" s="376"/>
      <c r="D16" s="378">
        <f>431620/10000000</f>
        <v>4.3161999999999999E-2</v>
      </c>
      <c r="E16" s="378">
        <f>5915/10000000</f>
        <v>5.9150000000000001E-4</v>
      </c>
      <c r="F16" s="196"/>
      <c r="G16" s="196"/>
    </row>
    <row r="17" spans="1:7" ht="15" customHeight="1">
      <c r="A17" s="195">
        <v>9</v>
      </c>
      <c r="B17" s="361" t="s">
        <v>455</v>
      </c>
      <c r="C17" s="376"/>
      <c r="D17" s="375">
        <f>217575/10000000</f>
        <v>2.1757499999999999E-2</v>
      </c>
      <c r="E17" s="376"/>
      <c r="F17" s="196"/>
      <c r="G17" s="196"/>
    </row>
    <row r="18" spans="1:7" ht="15" customHeight="1">
      <c r="A18" s="195">
        <v>10</v>
      </c>
      <c r="B18" s="362" t="s">
        <v>764</v>
      </c>
      <c r="C18" s="377">
        <f>5314346.935491/10000000</f>
        <v>0.5314346935491</v>
      </c>
      <c r="D18" s="379">
        <f>4082921.270373/10000000</f>
        <v>0.4082921270373</v>
      </c>
      <c r="E18" s="378">
        <f>1286513.659101/10000000</f>
        <v>0.12865136591010001</v>
      </c>
      <c r="F18" s="196"/>
      <c r="G18" s="196"/>
    </row>
    <row r="19" spans="1:7" ht="15" customHeight="1">
      <c r="A19" s="196"/>
      <c r="B19" s="196"/>
      <c r="C19" s="196"/>
      <c r="D19" s="196"/>
      <c r="E19" s="196"/>
      <c r="F19" s="196"/>
      <c r="G19" s="196"/>
    </row>
    <row r="20" spans="1:7" ht="15" customHeight="1">
      <c r="A20" s="196"/>
      <c r="B20" s="196"/>
      <c r="C20" s="196"/>
      <c r="D20" s="196"/>
      <c r="E20" s="196"/>
      <c r="F20" s="196"/>
      <c r="G20" s="196"/>
    </row>
    <row r="21" spans="1:7" ht="15" customHeight="1">
      <c r="A21" s="196"/>
      <c r="B21" s="368" t="s">
        <v>17</v>
      </c>
      <c r="C21" s="263">
        <f>SUM(C9:C18)</f>
        <v>6.1201447385490999</v>
      </c>
      <c r="D21" s="263">
        <f>SUM(D9:D18)</f>
        <v>3.6204201170373</v>
      </c>
      <c r="E21" s="263">
        <f>SUM(E9:E18)</f>
        <v>0.14134041591010002</v>
      </c>
      <c r="F21" s="196"/>
      <c r="G21" s="196"/>
    </row>
    <row r="22" spans="1:7" ht="15" customHeight="1">
      <c r="C22" s="264"/>
      <c r="D22" s="264"/>
      <c r="E22" s="264"/>
    </row>
    <row r="23" spans="1:7" ht="15" customHeight="1">
      <c r="A23" s="189" t="s">
        <v>604</v>
      </c>
      <c r="B23" s="189"/>
      <c r="C23" s="189"/>
      <c r="D23" s="189"/>
      <c r="E23" s="189"/>
    </row>
    <row r="24" spans="1:7" ht="12.75">
      <c r="A24" s="462" t="s">
        <v>605</v>
      </c>
      <c r="B24" s="462"/>
      <c r="C24" s="462"/>
      <c r="D24" s="462"/>
      <c r="E24" s="462"/>
      <c r="F24" s="463"/>
      <c r="G24" s="463"/>
    </row>
    <row r="25" spans="1:7" ht="12.75">
      <c r="A25" s="462" t="s">
        <v>606</v>
      </c>
      <c r="B25" s="463"/>
      <c r="C25" s="463"/>
      <c r="D25" s="463"/>
      <c r="E25" s="463"/>
      <c r="F25" s="463"/>
      <c r="G25" s="463"/>
    </row>
    <row r="26" spans="1:7" ht="12.75">
      <c r="A26" s="464" t="s">
        <v>607</v>
      </c>
      <c r="B26" s="465"/>
      <c r="C26" s="465"/>
      <c r="D26" s="465"/>
      <c r="E26" s="465"/>
      <c r="F26" s="465"/>
      <c r="G26" s="465"/>
    </row>
    <row r="27" spans="1:7" ht="15" customHeight="1">
      <c r="A27" s="189"/>
      <c r="B27" s="189"/>
      <c r="C27" s="189"/>
      <c r="D27" s="189"/>
      <c r="E27" s="189"/>
      <c r="F27" s="197"/>
    </row>
    <row r="30" spans="1:7" ht="15" customHeight="1">
      <c r="F30" s="198" t="s">
        <v>208</v>
      </c>
    </row>
  </sheetData>
  <mergeCells count="9">
    <mergeCell ref="A24:G24"/>
    <mergeCell ref="A25:G25"/>
    <mergeCell ref="A26:G26"/>
    <mergeCell ref="C7:E7"/>
    <mergeCell ref="A1:G1"/>
    <mergeCell ref="A2:B2"/>
    <mergeCell ref="A3:B3"/>
    <mergeCell ref="C2:G2"/>
    <mergeCell ref="C3:G3"/>
  </mergeCells>
  <phoneticPr fontId="0" type="noConversion"/>
  <pageMargins left="0.9" right="0.36" top="1" bottom="1" header="0.5" footer="0.5"/>
  <pageSetup paperSize="9" scale="73" orientation="portrait" r:id="rId1"/>
  <headerFooter alignWithMargins="0">
    <oddFooter>&amp;LTariff Petition for determination of tariff for FY 2015-16, approval of estimate for 2014-15 and truing up for  FY 2012-13 to FY 2013-14 for RPH</oddFooter>
  </headerFooter>
</worksheet>
</file>

<file path=xl/worksheets/sheet18.xml><?xml version="1.0" encoding="utf-8"?>
<worksheet xmlns="http://schemas.openxmlformats.org/spreadsheetml/2006/main" xmlns:r="http://schemas.openxmlformats.org/officeDocument/2006/relationships">
  <sheetPr enableFormatConditionsCalculation="0">
    <tabColor indexed="50"/>
    <pageSetUpPr fitToPage="1"/>
  </sheetPr>
  <dimension ref="A1:G25"/>
  <sheetViews>
    <sheetView showGridLines="0" zoomScaleSheetLayoutView="100" workbookViewId="0">
      <selection activeCell="I12" sqref="I12"/>
    </sheetView>
  </sheetViews>
  <sheetFormatPr defaultRowHeight="12.75"/>
  <cols>
    <col min="1" max="1" width="39.85546875" style="204" bestFit="1" customWidth="1"/>
    <col min="2" max="2" width="9.42578125" style="204" customWidth="1"/>
    <col min="3" max="4" width="7.7109375" style="204" bestFit="1" customWidth="1"/>
    <col min="5" max="5" width="7.28515625" style="204" bestFit="1" customWidth="1"/>
    <col min="6" max="6" width="8.7109375" style="204" customWidth="1"/>
    <col min="7" max="7" width="13.5703125" style="204" customWidth="1"/>
    <col min="8" max="16384" width="9.140625" style="204"/>
  </cols>
  <sheetData>
    <row r="1" spans="1:7">
      <c r="A1" s="471"/>
      <c r="B1" s="471"/>
      <c r="C1" s="471"/>
      <c r="D1" s="471"/>
      <c r="E1" s="471"/>
      <c r="F1" s="471"/>
      <c r="G1" s="471"/>
    </row>
    <row r="2" spans="1:7" ht="16.5" customHeight="1">
      <c r="A2" s="106" t="str">
        <f>Index!A2</f>
        <v>Name of Company:</v>
      </c>
      <c r="B2" s="401" t="str">
        <f>Index!D2</f>
        <v>INDRAPRASTHA POWER GENERATION COMPANY LIMITED</v>
      </c>
      <c r="C2" s="401"/>
      <c r="D2" s="401"/>
      <c r="E2" s="401"/>
      <c r="F2" s="401"/>
      <c r="G2" s="401"/>
    </row>
    <row r="3" spans="1:7" ht="16.5" customHeight="1">
      <c r="A3" s="106" t="str">
        <f>Index!A3</f>
        <v>Name of Plant/  Station:</v>
      </c>
      <c r="B3" s="401" t="str">
        <f>Index!D3</f>
        <v>Rajghat Power House</v>
      </c>
      <c r="C3" s="401"/>
      <c r="D3" s="401"/>
      <c r="E3" s="401"/>
      <c r="F3" s="401"/>
      <c r="G3" s="401"/>
    </row>
    <row r="4" spans="1:7">
      <c r="A4" s="203"/>
      <c r="B4" s="203"/>
      <c r="C4" s="206"/>
      <c r="D4" s="206"/>
      <c r="E4" s="206"/>
      <c r="F4" s="199"/>
      <c r="G4" s="199"/>
    </row>
    <row r="5" spans="1:7">
      <c r="A5" s="309" t="str">
        <f>Index!D24</f>
        <v>Financing of Additional Capitalisation</v>
      </c>
      <c r="B5" s="309"/>
      <c r="C5" s="309"/>
      <c r="D5" s="309"/>
      <c r="E5" s="309"/>
      <c r="F5" s="207" t="s">
        <v>156</v>
      </c>
      <c r="G5" s="309" t="str">
        <f>Index!C24</f>
        <v>F17</v>
      </c>
    </row>
    <row r="6" spans="1:7" ht="18" customHeight="1">
      <c r="G6" s="204" t="s">
        <v>768</v>
      </c>
    </row>
    <row r="7" spans="1:7" ht="18" customHeight="1">
      <c r="A7" s="469" t="s">
        <v>612</v>
      </c>
      <c r="B7" s="310" t="s">
        <v>24</v>
      </c>
      <c r="C7" s="311"/>
      <c r="D7" s="311"/>
      <c r="E7" s="310" t="s">
        <v>611</v>
      </c>
      <c r="F7" s="311"/>
      <c r="G7" s="374"/>
    </row>
    <row r="8" spans="1:7">
      <c r="A8" s="470"/>
      <c r="B8" s="183" t="s">
        <v>165</v>
      </c>
      <c r="C8" s="183" t="s">
        <v>166</v>
      </c>
      <c r="D8" s="183" t="s">
        <v>167</v>
      </c>
      <c r="E8" s="183" t="s">
        <v>165</v>
      </c>
      <c r="F8" s="183" t="s">
        <v>166</v>
      </c>
      <c r="G8" s="183" t="s">
        <v>167</v>
      </c>
    </row>
    <row r="9" spans="1:7">
      <c r="A9" s="209" t="s">
        <v>622</v>
      </c>
      <c r="B9" s="208"/>
      <c r="C9" s="208"/>
      <c r="D9" s="208"/>
      <c r="E9" s="208"/>
      <c r="F9" s="208"/>
      <c r="G9" s="208"/>
    </row>
    <row r="10" spans="1:7">
      <c r="A10" s="208"/>
      <c r="B10" s="208"/>
      <c r="C10" s="208"/>
      <c r="D10" s="208"/>
      <c r="E10" s="208"/>
      <c r="F10" s="208"/>
      <c r="G10" s="208"/>
    </row>
    <row r="11" spans="1:7">
      <c r="A11" s="210" t="s">
        <v>613</v>
      </c>
      <c r="B11" s="208"/>
      <c r="C11" s="208"/>
      <c r="D11" s="208"/>
      <c r="E11" s="208"/>
      <c r="F11" s="208"/>
      <c r="G11" s="208"/>
    </row>
    <row r="12" spans="1:7">
      <c r="A12" s="211" t="s">
        <v>614</v>
      </c>
      <c r="B12" s="208"/>
      <c r="C12" s="208"/>
      <c r="D12" s="208"/>
      <c r="E12" s="208"/>
      <c r="F12" s="208"/>
      <c r="G12" s="208"/>
    </row>
    <row r="13" spans="1:7">
      <c r="A13" s="211" t="s">
        <v>615</v>
      </c>
      <c r="B13" s="208"/>
      <c r="C13" s="208"/>
      <c r="D13" s="208"/>
      <c r="E13" s="208"/>
      <c r="F13" s="208"/>
      <c r="G13" s="208"/>
    </row>
    <row r="14" spans="1:7">
      <c r="A14" s="211" t="s">
        <v>616</v>
      </c>
      <c r="B14" s="208"/>
      <c r="C14" s="208"/>
      <c r="D14" s="208"/>
      <c r="E14" s="208"/>
      <c r="F14" s="208"/>
      <c r="G14" s="208"/>
    </row>
    <row r="15" spans="1:7" s="205" customFormat="1" ht="14.25">
      <c r="A15" s="210" t="s">
        <v>619</v>
      </c>
      <c r="B15" s="210"/>
      <c r="C15" s="210"/>
      <c r="D15" s="210"/>
      <c r="E15" s="210"/>
      <c r="F15" s="210"/>
      <c r="G15" s="210"/>
    </row>
    <row r="16" spans="1:7">
      <c r="A16" s="208"/>
      <c r="B16" s="208"/>
      <c r="C16" s="208"/>
      <c r="D16" s="208"/>
      <c r="E16" s="208"/>
      <c r="F16" s="208"/>
      <c r="G16" s="208"/>
    </row>
    <row r="17" spans="1:7">
      <c r="A17" s="211" t="s">
        <v>393</v>
      </c>
      <c r="B17" s="208"/>
      <c r="C17" s="208"/>
      <c r="D17" s="208"/>
      <c r="E17" s="208"/>
      <c r="F17" s="208"/>
      <c r="G17" s="208"/>
    </row>
    <row r="18" spans="1:7">
      <c r="A18" s="208" t="s">
        <v>617</v>
      </c>
      <c r="B18" s="302">
        <f>'F23'!E28</f>
        <v>6.1201000000000008</v>
      </c>
      <c r="C18" s="302">
        <f>'F23'!J28</f>
        <v>3.6263000000000001</v>
      </c>
      <c r="D18" s="302">
        <f>'F23'!O28</f>
        <v>0.12865379999999998</v>
      </c>
      <c r="E18" s="208"/>
      <c r="F18" s="208"/>
      <c r="G18" s="208"/>
    </row>
    <row r="19" spans="1:7">
      <c r="A19" s="208" t="s">
        <v>618</v>
      </c>
      <c r="B19" s="208"/>
      <c r="C19" s="208"/>
      <c r="D19" s="208"/>
      <c r="E19" s="208"/>
      <c r="F19" s="208"/>
      <c r="G19" s="208"/>
    </row>
    <row r="20" spans="1:7">
      <c r="A20" s="210" t="s">
        <v>17</v>
      </c>
      <c r="B20" s="210"/>
      <c r="C20" s="210"/>
      <c r="D20" s="210"/>
      <c r="E20" s="210"/>
      <c r="F20" s="210"/>
      <c r="G20" s="210"/>
    </row>
    <row r="22" spans="1:7" ht="14.25">
      <c r="A22" s="468" t="s">
        <v>620</v>
      </c>
      <c r="B22" s="468"/>
      <c r="C22" s="468"/>
      <c r="D22" s="468"/>
      <c r="E22" s="468"/>
      <c r="F22" s="468"/>
      <c r="G22" s="468"/>
    </row>
    <row r="23" spans="1:7" ht="14.25">
      <c r="A23" s="468" t="s">
        <v>660</v>
      </c>
      <c r="B23" s="468"/>
      <c r="C23" s="468"/>
      <c r="D23" s="468"/>
      <c r="E23" s="468"/>
      <c r="F23" s="468"/>
      <c r="G23" s="468"/>
    </row>
    <row r="24" spans="1:7" ht="14.25">
      <c r="A24" s="200"/>
    </row>
    <row r="25" spans="1:7" ht="14.25">
      <c r="A25" s="200"/>
    </row>
  </sheetData>
  <mergeCells count="6">
    <mergeCell ref="A23:G23"/>
    <mergeCell ref="A7:A8"/>
    <mergeCell ref="A1:G1"/>
    <mergeCell ref="B2:G2"/>
    <mergeCell ref="B3:G3"/>
    <mergeCell ref="A22:G22"/>
  </mergeCells>
  <phoneticPr fontId="0" type="noConversion"/>
  <pageMargins left="0.9" right="0.36" top="1" bottom="1" header="0.5" footer="0.5"/>
  <pageSetup paperSize="9" scale="96" orientation="portrait" r:id="rId1"/>
  <headerFooter alignWithMargins="0">
    <oddFooter>&amp;CTariff Petition for determination of tariff for FY 2015-16, approval of estimate for 2014-15 and truing up for  FY 2012-13 to FY 2013-14 for RPH</oddFooter>
  </headerFooter>
</worksheet>
</file>

<file path=xl/worksheets/sheet19.xml><?xml version="1.0" encoding="utf-8"?>
<worksheet xmlns="http://schemas.openxmlformats.org/spreadsheetml/2006/main" xmlns:r="http://schemas.openxmlformats.org/officeDocument/2006/relationships">
  <sheetPr enableFormatConditionsCalculation="0">
    <tabColor indexed="50"/>
    <pageSetUpPr fitToPage="1"/>
  </sheetPr>
  <dimension ref="A1:G26"/>
  <sheetViews>
    <sheetView showGridLines="0" topLeftCell="A4" zoomScaleSheetLayoutView="76" workbookViewId="0">
      <selection activeCell="G13" sqref="G13"/>
    </sheetView>
  </sheetViews>
  <sheetFormatPr defaultRowHeight="12.75"/>
  <cols>
    <col min="1" max="1" width="2.5703125" style="204" bestFit="1" customWidth="1"/>
    <col min="2" max="2" width="2.140625" style="204" bestFit="1" customWidth="1"/>
    <col min="3" max="3" width="66.7109375" style="204" bestFit="1" customWidth="1"/>
    <col min="4" max="7" width="16.42578125" style="204" customWidth="1"/>
    <col min="8" max="16384" width="9.140625" style="204"/>
  </cols>
  <sheetData>
    <row r="1" spans="1:7">
      <c r="A1" s="471"/>
      <c r="B1" s="471"/>
      <c r="C1" s="471"/>
      <c r="D1" s="471"/>
      <c r="E1" s="203"/>
      <c r="F1" s="203"/>
    </row>
    <row r="2" spans="1:7" ht="16.5" customHeight="1">
      <c r="A2" s="400" t="str">
        <f>Index!A2</f>
        <v>Name of Company:</v>
      </c>
      <c r="B2" s="400"/>
      <c r="C2" s="400"/>
      <c r="D2" s="401" t="str">
        <f>Index!D2</f>
        <v>INDRAPRASTHA POWER GENERATION COMPANY LIMITED</v>
      </c>
      <c r="E2" s="401"/>
      <c r="F2" s="401"/>
      <c r="G2" s="401"/>
    </row>
    <row r="3" spans="1:7" ht="16.5" customHeight="1">
      <c r="A3" s="400" t="str">
        <f>Index!A3</f>
        <v>Name of Plant/  Station:</v>
      </c>
      <c r="B3" s="400"/>
      <c r="C3" s="400"/>
      <c r="D3" s="401" t="str">
        <f>Index!D3</f>
        <v>Rajghat Power House</v>
      </c>
      <c r="E3" s="401"/>
      <c r="F3" s="401"/>
      <c r="G3" s="401"/>
    </row>
    <row r="4" spans="1:7">
      <c r="A4" s="203"/>
      <c r="B4" s="203"/>
      <c r="C4" s="203"/>
      <c r="D4" s="199"/>
      <c r="E4" s="199"/>
      <c r="F4" s="199"/>
    </row>
    <row r="5" spans="1:7" ht="12.75" customHeight="1">
      <c r="A5" s="429" t="str">
        <f>Index!D25</f>
        <v>Statement of Capital Cost</v>
      </c>
      <c r="B5" s="429"/>
      <c r="C5" s="429"/>
      <c r="D5" s="429"/>
      <c r="E5" s="429"/>
      <c r="F5" s="207" t="s">
        <v>156</v>
      </c>
      <c r="G5" s="207" t="str">
        <f>Index!C25</f>
        <v>F18</v>
      </c>
    </row>
    <row r="6" spans="1:7" ht="18" customHeight="1">
      <c r="D6" s="199"/>
      <c r="E6" s="199"/>
      <c r="F6" s="199"/>
      <c r="G6" s="10" t="s">
        <v>683</v>
      </c>
    </row>
    <row r="7" spans="1:7" ht="14.25" customHeight="1">
      <c r="A7" s="208"/>
      <c r="B7" s="208"/>
      <c r="C7" s="209" t="s">
        <v>18</v>
      </c>
      <c r="D7" s="184" t="s">
        <v>752</v>
      </c>
      <c r="E7" s="184" t="s">
        <v>753</v>
      </c>
      <c r="F7" s="184" t="s">
        <v>754</v>
      </c>
      <c r="G7" s="184" t="s">
        <v>755</v>
      </c>
    </row>
    <row r="8" spans="1:7">
      <c r="A8" s="208" t="s">
        <v>19</v>
      </c>
      <c r="B8" s="208" t="s">
        <v>69</v>
      </c>
      <c r="C8" s="211" t="s">
        <v>638</v>
      </c>
      <c r="D8" s="303">
        <f>'F23'!D28</f>
        <v>241.37950000000001</v>
      </c>
      <c r="E8" s="303">
        <f>D18</f>
        <v>247.49960000000002</v>
      </c>
      <c r="F8" s="303">
        <f>E18</f>
        <v>251.1259</v>
      </c>
      <c r="G8" s="303">
        <f>F18</f>
        <v>251.2545538</v>
      </c>
    </row>
    <row r="9" spans="1:7">
      <c r="A9" s="208"/>
      <c r="B9" s="208" t="s">
        <v>70</v>
      </c>
      <c r="C9" s="208" t="s">
        <v>641</v>
      </c>
      <c r="D9" s="185"/>
      <c r="E9" s="185"/>
      <c r="F9" s="185"/>
      <c r="G9" s="185"/>
    </row>
    <row r="10" spans="1:7">
      <c r="A10" s="208"/>
      <c r="B10" s="208" t="s">
        <v>72</v>
      </c>
      <c r="C10" s="211" t="s">
        <v>642</v>
      </c>
      <c r="D10" s="185"/>
      <c r="E10" s="185"/>
      <c r="F10" s="185"/>
      <c r="G10" s="185"/>
    </row>
    <row r="11" spans="1:7">
      <c r="A11" s="208"/>
      <c r="B11" s="208" t="s">
        <v>644</v>
      </c>
      <c r="C11" s="211" t="s">
        <v>643</v>
      </c>
      <c r="D11" s="185"/>
      <c r="E11" s="185"/>
      <c r="F11" s="185"/>
      <c r="G11" s="185"/>
    </row>
    <row r="12" spans="1:7">
      <c r="A12" s="208"/>
      <c r="B12" s="208"/>
      <c r="C12" s="211"/>
      <c r="D12" s="185"/>
      <c r="E12" s="185"/>
      <c r="F12" s="185"/>
      <c r="G12" s="185"/>
    </row>
    <row r="13" spans="1:7" s="205" customFormat="1">
      <c r="A13" s="208" t="s">
        <v>20</v>
      </c>
      <c r="B13" s="208" t="s">
        <v>69</v>
      </c>
      <c r="C13" s="211" t="s">
        <v>745</v>
      </c>
      <c r="D13" s="303">
        <f>'F23'!E28</f>
        <v>6.1201000000000008</v>
      </c>
      <c r="E13" s="303">
        <f>'F23'!J28</f>
        <v>3.6263000000000001</v>
      </c>
      <c r="F13" s="303">
        <f>'F23'!O28</f>
        <v>0.12865379999999998</v>
      </c>
      <c r="G13" s="303">
        <f>'F23'!T28</f>
        <v>0</v>
      </c>
    </row>
    <row r="14" spans="1:7">
      <c r="A14" s="208"/>
      <c r="B14" s="208" t="s">
        <v>70</v>
      </c>
      <c r="C14" s="208" t="s">
        <v>646</v>
      </c>
      <c r="D14" s="185"/>
      <c r="E14" s="185"/>
      <c r="F14" s="185"/>
      <c r="G14" s="185"/>
    </row>
    <row r="15" spans="1:7">
      <c r="A15" s="208"/>
      <c r="B15" s="208" t="s">
        <v>72</v>
      </c>
      <c r="C15" s="211" t="s">
        <v>645</v>
      </c>
      <c r="D15" s="185"/>
      <c r="E15" s="185"/>
      <c r="F15" s="185"/>
      <c r="G15" s="185"/>
    </row>
    <row r="16" spans="1:7">
      <c r="A16" s="208"/>
      <c r="B16" s="208" t="s">
        <v>644</v>
      </c>
      <c r="C16" s="211" t="s">
        <v>647</v>
      </c>
      <c r="D16" s="185"/>
      <c r="E16" s="185"/>
      <c r="F16" s="185"/>
      <c r="G16" s="185"/>
    </row>
    <row r="17" spans="1:7">
      <c r="A17" s="208"/>
      <c r="B17" s="208"/>
      <c r="C17" s="208"/>
      <c r="D17" s="185"/>
      <c r="E17" s="185"/>
      <c r="F17" s="185"/>
      <c r="G17" s="185"/>
    </row>
    <row r="18" spans="1:7">
      <c r="A18" s="208" t="s">
        <v>20</v>
      </c>
      <c r="B18" s="208" t="s">
        <v>69</v>
      </c>
      <c r="C18" s="211" t="s">
        <v>746</v>
      </c>
      <c r="D18" s="303">
        <f>D8+D13</f>
        <v>247.49960000000002</v>
      </c>
      <c r="E18" s="303">
        <f>E8+E13</f>
        <v>251.1259</v>
      </c>
      <c r="F18" s="303">
        <f>F8+F13</f>
        <v>251.2545538</v>
      </c>
      <c r="G18" s="303">
        <f>G8+G13</f>
        <v>251.2545538</v>
      </c>
    </row>
    <row r="19" spans="1:7">
      <c r="A19" s="208"/>
      <c r="B19" s="208" t="s">
        <v>70</v>
      </c>
      <c r="C19" s="208" t="s">
        <v>648</v>
      </c>
      <c r="D19" s="185"/>
      <c r="E19" s="185"/>
      <c r="F19" s="185"/>
      <c r="G19" s="185"/>
    </row>
    <row r="20" spans="1:7">
      <c r="A20" s="208"/>
      <c r="B20" s="208" t="s">
        <v>72</v>
      </c>
      <c r="C20" s="211" t="s">
        <v>649</v>
      </c>
      <c r="D20" s="185"/>
      <c r="E20" s="185"/>
      <c r="F20" s="185"/>
      <c r="G20" s="185"/>
    </row>
    <row r="21" spans="1:7">
      <c r="A21" s="208"/>
      <c r="B21" s="208" t="s">
        <v>644</v>
      </c>
      <c r="C21" s="211" t="s">
        <v>650</v>
      </c>
      <c r="D21" s="185"/>
      <c r="E21" s="185"/>
      <c r="F21" s="185"/>
      <c r="G21" s="185"/>
    </row>
    <row r="22" spans="1:7" ht="14.25">
      <c r="A22" s="468"/>
      <c r="B22" s="468"/>
      <c r="C22" s="468"/>
      <c r="D22" s="468"/>
      <c r="E22" s="468"/>
      <c r="F22" s="468"/>
      <c r="G22" s="468"/>
    </row>
    <row r="23" spans="1:7" ht="14.25">
      <c r="A23" s="468" t="s">
        <v>640</v>
      </c>
      <c r="B23" s="468"/>
      <c r="C23" s="468"/>
      <c r="D23" s="468"/>
      <c r="E23" s="468"/>
      <c r="F23" s="468"/>
      <c r="G23" s="468"/>
    </row>
    <row r="24" spans="1:7" ht="14.25">
      <c r="A24" s="200"/>
      <c r="B24" s="200"/>
    </row>
    <row r="25" spans="1:7" ht="14.25">
      <c r="A25" s="200"/>
      <c r="B25" s="200"/>
    </row>
    <row r="26" spans="1:7">
      <c r="D26" s="205" t="s">
        <v>208</v>
      </c>
      <c r="E26" s="205"/>
      <c r="F26" s="205"/>
    </row>
  </sheetData>
  <mergeCells count="8">
    <mergeCell ref="A22:G22"/>
    <mergeCell ref="A23:G23"/>
    <mergeCell ref="A1:D1"/>
    <mergeCell ref="A2:C2"/>
    <mergeCell ref="D2:G2"/>
    <mergeCell ref="A3:C3"/>
    <mergeCell ref="D3:G3"/>
    <mergeCell ref="A5:E5"/>
  </mergeCells>
  <phoneticPr fontId="0" type="noConversion"/>
  <pageMargins left="0.9" right="0.36" top="1" bottom="1" header="0.5" footer="0.5"/>
  <pageSetup paperSize="9" scale="66" orientation="portrait" r:id="rId1"/>
  <headerFooter alignWithMargins="0">
    <oddFooter>&amp;LTariff Petition for MYT Period FY 2012-13 to FY 2014-15 and Truing-up for FY 2007-08 to FY 2011-12&amp;CTariff Petition for determination of tariff for FY 2015-16, approval of estimate for 2014-15 and truing up for  FY 2012-13 to FY 2013-14 for RPH</oddFooter>
  </headerFooter>
</worksheet>
</file>

<file path=xl/worksheets/sheet2.xml><?xml version="1.0" encoding="utf-8"?>
<worksheet xmlns="http://schemas.openxmlformats.org/spreadsheetml/2006/main" xmlns:r="http://schemas.openxmlformats.org/officeDocument/2006/relationships">
  <sheetPr codeName="Sheet5">
    <pageSetUpPr fitToPage="1"/>
  </sheetPr>
  <dimension ref="A1:H34"/>
  <sheetViews>
    <sheetView showGridLines="0" topLeftCell="B16" zoomScaleSheetLayoutView="100" workbookViewId="0">
      <selection activeCell="E35" sqref="E35"/>
    </sheetView>
  </sheetViews>
  <sheetFormatPr defaultColWidth="14.7109375" defaultRowHeight="12.75"/>
  <cols>
    <col min="1" max="1" width="4.28515625" style="25" bestFit="1" customWidth="1"/>
    <col min="2" max="2" width="63.7109375" style="24" bestFit="1" customWidth="1"/>
    <col min="3" max="5" width="11.5703125" style="25" customWidth="1"/>
    <col min="6" max="7" width="11.7109375" style="25" customWidth="1"/>
    <col min="8" max="16384" width="14.7109375" style="24"/>
  </cols>
  <sheetData>
    <row r="1" spans="1:7" s="10" customFormat="1" ht="15" customHeight="1">
      <c r="A1" s="398"/>
      <c r="B1" s="398"/>
      <c r="C1" s="398"/>
      <c r="D1" s="398"/>
      <c r="E1" s="398"/>
      <c r="F1" s="398"/>
      <c r="G1" s="398"/>
    </row>
    <row r="2" spans="1:7" s="10" customFormat="1" ht="15" customHeight="1">
      <c r="A2" s="400" t="str">
        <f>Index!A2:C2</f>
        <v>Name of Company:</v>
      </c>
      <c r="B2" s="400"/>
      <c r="C2" s="401" t="str">
        <f>Index!D2</f>
        <v>INDRAPRASTHA POWER GENERATION COMPANY LIMITED</v>
      </c>
      <c r="D2" s="401"/>
      <c r="E2" s="401"/>
      <c r="F2" s="401"/>
      <c r="G2" s="401"/>
    </row>
    <row r="3" spans="1:7" s="10" customFormat="1" ht="15" customHeight="1">
      <c r="A3" s="400" t="str">
        <f>Index!A3:C3</f>
        <v>Name of Plant/  Station:</v>
      </c>
      <c r="B3" s="400"/>
      <c r="C3" s="401" t="str">
        <f>Index!D3</f>
        <v>Rajghat Power House</v>
      </c>
      <c r="D3" s="401"/>
      <c r="E3" s="401"/>
      <c r="F3" s="401"/>
      <c r="G3" s="401"/>
    </row>
    <row r="4" spans="1:7" s="56" customFormat="1" ht="15" customHeight="1">
      <c r="A4" s="398"/>
      <c r="B4" s="398"/>
      <c r="C4" s="398"/>
      <c r="D4" s="398"/>
      <c r="E4" s="398"/>
      <c r="F4" s="398"/>
      <c r="G4" s="398"/>
    </row>
    <row r="5" spans="1:7" s="10" customFormat="1">
      <c r="A5" s="402" t="str">
        <f>Index!D8</f>
        <v>Annual Revenue Requirement Summary</v>
      </c>
      <c r="B5" s="402"/>
      <c r="C5" s="402"/>
      <c r="D5" s="402"/>
      <c r="E5" s="402"/>
      <c r="F5" s="52" t="s">
        <v>156</v>
      </c>
      <c r="G5" s="52" t="str">
        <f>Index!C8</f>
        <v>F1</v>
      </c>
    </row>
    <row r="6" spans="1:7" s="10" customFormat="1">
      <c r="A6" s="399"/>
      <c r="B6" s="399"/>
      <c r="C6" s="399"/>
      <c r="D6" s="399"/>
      <c r="E6" s="399"/>
      <c r="F6" s="399"/>
      <c r="G6" s="399"/>
    </row>
    <row r="7" spans="1:7">
      <c r="A7" s="396"/>
      <c r="B7" s="397"/>
      <c r="C7" s="397" t="s">
        <v>151</v>
      </c>
      <c r="D7" s="352" t="s">
        <v>165</v>
      </c>
      <c r="E7" s="352" t="s">
        <v>166</v>
      </c>
      <c r="F7" s="352" t="s">
        <v>167</v>
      </c>
      <c r="G7" s="352" t="s">
        <v>748</v>
      </c>
    </row>
    <row r="8" spans="1:7">
      <c r="A8" s="396"/>
      <c r="B8" s="397"/>
      <c r="C8" s="397"/>
      <c r="D8" s="336" t="s">
        <v>24</v>
      </c>
      <c r="E8" s="336" t="s">
        <v>24</v>
      </c>
      <c r="F8" s="336" t="s">
        <v>8</v>
      </c>
      <c r="G8" s="353" t="s">
        <v>45</v>
      </c>
    </row>
    <row r="9" spans="1:7" ht="15" customHeight="1">
      <c r="A9" s="31" t="s">
        <v>19</v>
      </c>
      <c r="B9" s="33" t="s">
        <v>125</v>
      </c>
      <c r="C9" s="67"/>
      <c r="D9" s="336"/>
      <c r="E9" s="336"/>
      <c r="F9" s="336"/>
      <c r="G9" s="336"/>
    </row>
    <row r="10" spans="1:7" ht="15" customHeight="1">
      <c r="A10" s="68">
        <v>1</v>
      </c>
      <c r="B10" s="59" t="s">
        <v>123</v>
      </c>
      <c r="C10" s="32" t="s">
        <v>99</v>
      </c>
      <c r="D10" s="322">
        <f>'F4 '!D11</f>
        <v>792.79899999999998</v>
      </c>
      <c r="E10" s="322">
        <f>'F4 '!E11</f>
        <v>379.88299999999998</v>
      </c>
      <c r="F10" s="322">
        <f>'F4 '!F11</f>
        <v>886.95</v>
      </c>
      <c r="G10" s="322">
        <f>'F4 '!G11</f>
        <v>889.38</v>
      </c>
    </row>
    <row r="11" spans="1:7" ht="15" customHeight="1">
      <c r="A11" s="68">
        <v>2</v>
      </c>
      <c r="B11" s="59" t="s">
        <v>122</v>
      </c>
      <c r="C11" s="32" t="s">
        <v>99</v>
      </c>
      <c r="D11" s="354">
        <f>'F4 '!D12</f>
        <v>0.13272216539122778</v>
      </c>
      <c r="E11" s="354">
        <f>'F4 '!E12</f>
        <v>0.15157824909248374</v>
      </c>
      <c r="F11" s="354">
        <f>'F4 '!F12</f>
        <v>0.15</v>
      </c>
      <c r="G11" s="354">
        <f>'F4 '!G12</f>
        <v>0.125</v>
      </c>
    </row>
    <row r="12" spans="1:7" ht="15" customHeight="1">
      <c r="A12" s="68">
        <v>3</v>
      </c>
      <c r="B12" s="59" t="s">
        <v>124</v>
      </c>
      <c r="C12" s="32" t="s">
        <v>99</v>
      </c>
      <c r="D12" s="327">
        <f>'F4 '!D14</f>
        <v>687.577</v>
      </c>
      <c r="E12" s="327">
        <f>'F4 '!E14</f>
        <v>322.30099999999999</v>
      </c>
      <c r="F12" s="327">
        <f>'F4 '!F14</f>
        <v>753.90750000000003</v>
      </c>
      <c r="G12" s="327">
        <f>'F4 '!G14</f>
        <v>778.20749999999998</v>
      </c>
    </row>
    <row r="13" spans="1:7" ht="15" customHeight="1">
      <c r="A13" s="70"/>
      <c r="B13" s="71"/>
      <c r="C13" s="71"/>
      <c r="D13" s="355"/>
      <c r="E13" s="355"/>
      <c r="F13" s="355"/>
      <c r="G13" s="355"/>
    </row>
    <row r="14" spans="1:7" s="10" customFormat="1" ht="15" customHeight="1">
      <c r="A14" s="69" t="s">
        <v>20</v>
      </c>
      <c r="B14" s="61" t="s">
        <v>159</v>
      </c>
      <c r="C14" s="231"/>
      <c r="D14" s="347"/>
      <c r="E14" s="347"/>
      <c r="F14" s="347"/>
      <c r="G14" s="347"/>
    </row>
    <row r="15" spans="1:7" s="10" customFormat="1" ht="15" customHeight="1">
      <c r="A15" s="64">
        <v>1</v>
      </c>
      <c r="B15" s="63" t="s">
        <v>2</v>
      </c>
      <c r="D15" s="350">
        <f>D16+D17+D18</f>
        <v>73.668760036999998</v>
      </c>
      <c r="E15" s="350">
        <f>E16+E17+E18</f>
        <v>72.686000000000007</v>
      </c>
      <c r="F15" s="350">
        <f>F16+F17+F18</f>
        <v>76.211200000000005</v>
      </c>
      <c r="G15" s="350">
        <f>G16+G17+G18</f>
        <v>82.696759900000004</v>
      </c>
    </row>
    <row r="16" spans="1:7" s="10" customFormat="1" ht="15" customHeight="1">
      <c r="A16" s="64" t="s">
        <v>69</v>
      </c>
      <c r="B16" s="65" t="s">
        <v>71</v>
      </c>
      <c r="C16" s="232" t="str">
        <f>'F20'!F5</f>
        <v>F20</v>
      </c>
      <c r="D16" s="356">
        <f>'F20'!C23</f>
        <v>21.914400000000004</v>
      </c>
      <c r="E16" s="356">
        <f>'F20'!D23</f>
        <v>22.771000000000001</v>
      </c>
      <c r="F16" s="356">
        <f>'F20'!E23</f>
        <v>26.2438</v>
      </c>
      <c r="G16" s="356">
        <f>'F20'!F23</f>
        <v>28.307245000000002</v>
      </c>
    </row>
    <row r="17" spans="1:8" ht="15" customHeight="1">
      <c r="A17" s="68" t="s">
        <v>70</v>
      </c>
      <c r="B17" s="65" t="s">
        <v>73</v>
      </c>
      <c r="C17" s="64" t="str">
        <f>'F21'!F5</f>
        <v>F21</v>
      </c>
      <c r="D17" s="350">
        <f>'F21'!C32</f>
        <v>43.527100000000004</v>
      </c>
      <c r="E17" s="350">
        <f>'F21'!D32</f>
        <v>40.5974</v>
      </c>
      <c r="F17" s="350">
        <f>'F21'!E32</f>
        <v>40.5974</v>
      </c>
      <c r="G17" s="350">
        <f>'F21'!F32</f>
        <v>44.190269900000004</v>
      </c>
    </row>
    <row r="18" spans="1:8" ht="15" customHeight="1">
      <c r="A18" s="68" t="s">
        <v>72</v>
      </c>
      <c r="B18" s="65" t="s">
        <v>74</v>
      </c>
      <c r="C18" s="64" t="str">
        <f>'F22'!F5</f>
        <v>F22</v>
      </c>
      <c r="D18" s="350">
        <f>'F22'!C43</f>
        <v>8.2272600370000006</v>
      </c>
      <c r="E18" s="350">
        <f>'F22'!D43</f>
        <v>9.3176000000000005</v>
      </c>
      <c r="F18" s="350">
        <f>'F22'!E43</f>
        <v>9.370000000000001</v>
      </c>
      <c r="G18" s="350">
        <f>'F22'!F43</f>
        <v>10.199245000000001</v>
      </c>
    </row>
    <row r="19" spans="1:8" ht="15" customHeight="1">
      <c r="A19" s="68">
        <v>2</v>
      </c>
      <c r="B19" s="63" t="s">
        <v>75</v>
      </c>
      <c r="C19" s="64" t="str">
        <f>'F23'!W5</f>
        <v>F23</v>
      </c>
      <c r="D19" s="343">
        <f>'F23'!G28</f>
        <v>13.489270000000001</v>
      </c>
      <c r="E19" s="343">
        <f>'F23'!L28</f>
        <v>13.245799999999999</v>
      </c>
      <c r="F19" s="343">
        <f>'F23'!Q28</f>
        <v>12.960240621939043</v>
      </c>
      <c r="G19" s="343">
        <f>'F23'!V28</f>
        <v>12.906736147229827</v>
      </c>
    </row>
    <row r="20" spans="1:8" ht="15" customHeight="1">
      <c r="A20" s="68">
        <v>3</v>
      </c>
      <c r="B20" s="63" t="s">
        <v>126</v>
      </c>
      <c r="C20" s="64" t="str">
        <f>'F24'!$O$5</f>
        <v>F24</v>
      </c>
      <c r="D20" s="343">
        <f>'F24'!H31</f>
        <v>6.6877800000000001</v>
      </c>
      <c r="E20" s="343">
        <f>'F24'!N31</f>
        <v>6.3585232975999997</v>
      </c>
      <c r="F20" s="343">
        <f>'F24'!T31</f>
        <v>6.4238632975999996</v>
      </c>
      <c r="G20" s="343">
        <f>'F24'!Z31</f>
        <v>6.4035682975999997</v>
      </c>
    </row>
    <row r="21" spans="1:8" ht="15" customHeight="1">
      <c r="A21" s="68">
        <v>4</v>
      </c>
      <c r="B21" s="63" t="s">
        <v>127</v>
      </c>
      <c r="C21" s="64" t="str">
        <f>'F25'!G5</f>
        <v>F25</v>
      </c>
      <c r="D21" s="350">
        <f>'F25'!D14</f>
        <v>15.137137591592033</v>
      </c>
      <c r="E21" s="350">
        <f>'F25'!E14</f>
        <v>15.695074231177092</v>
      </c>
      <c r="F21" s="350">
        <f>'F25'!F14</f>
        <v>15.769566928950159</v>
      </c>
      <c r="G21" s="350">
        <f>'F25'!G14</f>
        <v>15.773659838812298</v>
      </c>
    </row>
    <row r="22" spans="1:8" ht="15" customHeight="1">
      <c r="A22" s="68">
        <v>5</v>
      </c>
      <c r="B22" s="66" t="s">
        <v>111</v>
      </c>
      <c r="C22" s="60" t="str">
        <f>'F26'!G5</f>
        <v>F26</v>
      </c>
      <c r="D22" s="350">
        <f>'F26'!D17</f>
        <v>16.325930071415254</v>
      </c>
      <c r="E22" s="350">
        <f>'F26'!E17</f>
        <v>11.390089500000002</v>
      </c>
      <c r="F22" s="350">
        <f>'F26'!F17</f>
        <v>19.665187066211576</v>
      </c>
      <c r="G22" s="350">
        <f>'F26'!G17</f>
        <v>20.106152676348795</v>
      </c>
    </row>
    <row r="23" spans="1:8" ht="15" customHeight="1">
      <c r="A23" s="68">
        <v>6</v>
      </c>
      <c r="B23" s="63" t="s">
        <v>677</v>
      </c>
      <c r="C23" s="64" t="s">
        <v>675</v>
      </c>
      <c r="D23" s="350">
        <f>'F29'!C9</f>
        <v>4.9112442915920358</v>
      </c>
      <c r="E23" s="350">
        <f>'F29'!D9</f>
        <v>5.3347557311770943</v>
      </c>
      <c r="F23" s="350">
        <f>'F29'!E9</f>
        <v>5.3600757991501595</v>
      </c>
      <c r="G23" s="350">
        <f>'F29'!F9</f>
        <v>5.3614669792123006</v>
      </c>
    </row>
    <row r="24" spans="1:8" ht="15" customHeight="1">
      <c r="A24" s="68">
        <v>7</v>
      </c>
      <c r="B24" s="66" t="s">
        <v>161</v>
      </c>
      <c r="C24" s="60" t="s">
        <v>99</v>
      </c>
      <c r="D24" s="350">
        <f>'F4 '!D39</f>
        <v>13.06</v>
      </c>
      <c r="E24" s="350">
        <f>'F4 '!E39</f>
        <v>13.44</v>
      </c>
      <c r="F24" s="350">
        <f>'F4 '!F39</f>
        <v>31.791492000000002</v>
      </c>
      <c r="G24" s="350">
        <f>'F4 '!G39</f>
        <v>31.878599999999999</v>
      </c>
      <c r="H24" s="389"/>
    </row>
    <row r="25" spans="1:8" ht="15" customHeight="1">
      <c r="A25" s="68"/>
      <c r="B25" s="61" t="s">
        <v>17</v>
      </c>
      <c r="C25" s="62"/>
      <c r="D25" s="347">
        <f>SUM(D16:D24)</f>
        <v>143.28012199159934</v>
      </c>
      <c r="E25" s="347">
        <f>SUM(E16:E24)</f>
        <v>138.15024275995421</v>
      </c>
      <c r="F25" s="347">
        <f>SUM(F16:F24)</f>
        <v>168.18162571385093</v>
      </c>
      <c r="G25" s="347">
        <f>SUM(G16:G24)</f>
        <v>175.12694383920322</v>
      </c>
    </row>
    <row r="26" spans="1:8" ht="15" customHeight="1">
      <c r="A26" s="394"/>
      <c r="B26" s="395"/>
      <c r="C26" s="395"/>
      <c r="D26" s="395"/>
      <c r="E26" s="395"/>
      <c r="F26" s="395"/>
      <c r="G26" s="395"/>
    </row>
    <row r="27" spans="1:8" ht="15" customHeight="1">
      <c r="A27" s="69" t="s">
        <v>21</v>
      </c>
      <c r="B27" s="61" t="s">
        <v>160</v>
      </c>
      <c r="C27" s="62"/>
      <c r="D27" s="347"/>
      <c r="E27" s="347"/>
      <c r="F27" s="347"/>
      <c r="G27" s="347"/>
    </row>
    <row r="28" spans="1:8" ht="15" customHeight="1">
      <c r="A28" s="68"/>
      <c r="B28" s="63" t="s">
        <v>168</v>
      </c>
      <c r="C28" s="64" t="s">
        <v>99</v>
      </c>
      <c r="D28" s="350">
        <f>('F4 '!D42)</f>
        <v>222.02</v>
      </c>
      <c r="E28" s="350">
        <f>('F4 '!E42)</f>
        <v>115.54</v>
      </c>
      <c r="F28" s="350">
        <f>('F4 '!F42)</f>
        <v>272.25778205384773</v>
      </c>
      <c r="G28" s="350">
        <f>('F4 '!G42)</f>
        <v>273.00369378550204</v>
      </c>
    </row>
    <row r="29" spans="1:8" ht="15" customHeight="1">
      <c r="A29" s="68"/>
      <c r="B29" s="63" t="s">
        <v>169</v>
      </c>
      <c r="C29" s="64" t="s">
        <v>99</v>
      </c>
      <c r="D29" s="350">
        <f>'F4 '!D47</f>
        <v>3.2290201679230108</v>
      </c>
      <c r="E29" s="350">
        <f>'F4 '!E47</f>
        <v>3.5848477044750098</v>
      </c>
      <c r="F29" s="350">
        <f>'F4 '!F47</f>
        <v>3.6112889453128894</v>
      </c>
      <c r="G29" s="350">
        <f>'F4 '!G47</f>
        <v>3.508109261161092</v>
      </c>
    </row>
    <row r="30" spans="1:8" ht="15" customHeight="1">
      <c r="A30" s="57"/>
      <c r="B30" s="21"/>
      <c r="C30" s="22"/>
      <c r="D30" s="22"/>
      <c r="E30" s="22"/>
      <c r="F30" s="58"/>
      <c r="G30" s="58"/>
    </row>
    <row r="31" spans="1:8">
      <c r="B31" s="49" t="s">
        <v>162</v>
      </c>
    </row>
    <row r="32" spans="1:8">
      <c r="B32" s="54" t="s">
        <v>163</v>
      </c>
    </row>
    <row r="33" spans="2:7">
      <c r="B33" s="54" t="s">
        <v>164</v>
      </c>
      <c r="D33" s="25">
        <f>D25/D12*10</f>
        <v>2.0838411114915036</v>
      </c>
      <c r="E33" s="25">
        <f>E25/E12*10</f>
        <v>4.2863733826439949</v>
      </c>
      <c r="F33" s="25">
        <f>F25/F12*10</f>
        <v>2.2307992122886553</v>
      </c>
      <c r="G33" s="25">
        <f>G25/G12*10</f>
        <v>2.2503887952660855</v>
      </c>
    </row>
    <row r="34" spans="2:7" ht="12.75" customHeight="1">
      <c r="B34" s="54"/>
    </row>
  </sheetData>
  <mergeCells count="12">
    <mergeCell ref="A26:G26"/>
    <mergeCell ref="A7:A8"/>
    <mergeCell ref="B7:B8"/>
    <mergeCell ref="C7:C8"/>
    <mergeCell ref="A1:G1"/>
    <mergeCell ref="A4:G4"/>
    <mergeCell ref="A6:G6"/>
    <mergeCell ref="A2:B2"/>
    <mergeCell ref="A3:B3"/>
    <mergeCell ref="C2:G2"/>
    <mergeCell ref="A5:E5"/>
    <mergeCell ref="C3:G3"/>
  </mergeCells>
  <phoneticPr fontId="0" type="noConversion"/>
  <pageMargins left="0.9" right="0.36" top="1" bottom="1" header="0.5" footer="0.5"/>
  <pageSetup paperSize="9" scale="84" orientation="landscape" blackAndWhite="1" horizontalDpi="300" verticalDpi="300" r:id="rId1"/>
  <headerFooter alignWithMargins="0">
    <oddFooter>&amp;LTariff Petition for determination of tariff for FY 2015-16, approval of estimate for 2014-15 and truing up for  FY 2012-13 to FY 2013-14 for RPH</oddFooter>
  </headerFooter>
</worksheet>
</file>

<file path=xl/worksheets/sheet20.xml><?xml version="1.0" encoding="utf-8"?>
<worksheet xmlns="http://schemas.openxmlformats.org/spreadsheetml/2006/main" xmlns:r="http://schemas.openxmlformats.org/officeDocument/2006/relationships">
  <sheetPr enableFormatConditionsCalculation="0">
    <tabColor indexed="13"/>
    <pageSetUpPr fitToPage="1"/>
  </sheetPr>
  <dimension ref="A1:E28"/>
  <sheetViews>
    <sheetView showGridLines="0" zoomScaleSheetLayoutView="76" workbookViewId="0">
      <selection activeCell="E6" sqref="E6"/>
    </sheetView>
  </sheetViews>
  <sheetFormatPr defaultRowHeight="12.75"/>
  <cols>
    <col min="1" max="1" width="2.5703125" style="204" bestFit="1" customWidth="1"/>
    <col min="2" max="2" width="2.140625" style="204" bestFit="1" customWidth="1"/>
    <col min="3" max="3" width="66.7109375" style="204" bestFit="1" customWidth="1"/>
    <col min="4" max="4" width="11.28515625" style="204" bestFit="1" customWidth="1"/>
    <col min="5" max="5" width="45.85546875" style="204" customWidth="1"/>
    <col min="6" max="16384" width="9.140625" style="204"/>
  </cols>
  <sheetData>
    <row r="1" spans="1:5">
      <c r="A1" s="471"/>
      <c r="B1" s="471"/>
      <c r="C1" s="471"/>
      <c r="D1" s="471"/>
    </row>
    <row r="2" spans="1:5" ht="16.5" customHeight="1">
      <c r="A2" s="400" t="str">
        <f>Index!A2</f>
        <v>Name of Company:</v>
      </c>
      <c r="B2" s="400"/>
      <c r="C2" s="400"/>
      <c r="D2" s="401" t="str">
        <f>Index!D2</f>
        <v>INDRAPRASTHA POWER GENERATION COMPANY LIMITED</v>
      </c>
      <c r="E2" s="401"/>
    </row>
    <row r="3" spans="1:5" ht="16.5" customHeight="1">
      <c r="A3" s="400" t="str">
        <f>Index!A3</f>
        <v>Name of Plant/  Station:</v>
      </c>
      <c r="B3" s="400"/>
      <c r="C3" s="400"/>
      <c r="D3" s="401" t="str">
        <f>Index!D3</f>
        <v>Rajghat Power House</v>
      </c>
      <c r="E3" s="401"/>
    </row>
    <row r="4" spans="1:5">
      <c r="A4" s="203"/>
      <c r="B4" s="203"/>
      <c r="C4" s="203"/>
      <c r="D4" s="199"/>
    </row>
    <row r="5" spans="1:5">
      <c r="A5" s="429" t="str">
        <f>Index!D26</f>
        <v>Statement of Capital Works in Progress</v>
      </c>
      <c r="B5" s="429"/>
      <c r="C5" s="429"/>
      <c r="D5" s="207" t="s">
        <v>156</v>
      </c>
      <c r="E5" s="207" t="str">
        <f>Index!C26</f>
        <v>F19</v>
      </c>
    </row>
    <row r="6" spans="1:5" ht="18" customHeight="1">
      <c r="D6" s="199"/>
      <c r="E6" s="10" t="s">
        <v>683</v>
      </c>
    </row>
    <row r="7" spans="1:5" ht="14.25">
      <c r="A7" s="208"/>
      <c r="B7" s="208"/>
      <c r="C7" s="209" t="s">
        <v>18</v>
      </c>
      <c r="D7" s="472" t="s">
        <v>639</v>
      </c>
      <c r="E7" s="473"/>
    </row>
    <row r="8" spans="1:5">
      <c r="A8" s="208" t="s">
        <v>19</v>
      </c>
      <c r="B8" s="208" t="s">
        <v>69</v>
      </c>
      <c r="C8" s="211" t="s">
        <v>651</v>
      </c>
      <c r="D8" s="472"/>
      <c r="E8" s="473"/>
    </row>
    <row r="9" spans="1:5">
      <c r="A9" s="208"/>
      <c r="B9" s="208" t="s">
        <v>70</v>
      </c>
      <c r="C9" s="208" t="s">
        <v>652</v>
      </c>
      <c r="D9" s="472"/>
      <c r="E9" s="473"/>
    </row>
    <row r="10" spans="1:5">
      <c r="A10" s="208"/>
      <c r="B10" s="208" t="s">
        <v>72</v>
      </c>
      <c r="C10" s="211" t="s">
        <v>653</v>
      </c>
      <c r="D10" s="472"/>
      <c r="E10" s="473"/>
    </row>
    <row r="11" spans="1:5">
      <c r="A11" s="208"/>
      <c r="B11" s="208"/>
      <c r="C11" s="211"/>
      <c r="D11" s="472"/>
      <c r="E11" s="473"/>
    </row>
    <row r="12" spans="1:5" s="205" customFormat="1">
      <c r="A12" s="208" t="s">
        <v>20</v>
      </c>
      <c r="B12" s="208" t="s">
        <v>69</v>
      </c>
      <c r="C12" s="211" t="s">
        <v>654</v>
      </c>
      <c r="D12" s="472"/>
      <c r="E12" s="473"/>
    </row>
    <row r="13" spans="1:5">
      <c r="A13" s="208"/>
      <c r="B13" s="208" t="s">
        <v>70</v>
      </c>
      <c r="C13" s="208" t="s">
        <v>652</v>
      </c>
      <c r="D13" s="472"/>
      <c r="E13" s="473"/>
    </row>
    <row r="14" spans="1:5">
      <c r="A14" s="208"/>
      <c r="B14" s="208" t="s">
        <v>72</v>
      </c>
      <c r="C14" s="211" t="s">
        <v>653</v>
      </c>
      <c r="D14" s="472"/>
      <c r="E14" s="473"/>
    </row>
    <row r="15" spans="1:5">
      <c r="A15" s="208"/>
      <c r="B15" s="208"/>
      <c r="C15" s="208"/>
      <c r="D15" s="472"/>
      <c r="E15" s="473"/>
    </row>
    <row r="16" spans="1:5">
      <c r="A16" s="208" t="s">
        <v>21</v>
      </c>
      <c r="B16" s="208" t="s">
        <v>69</v>
      </c>
      <c r="C16" s="211" t="s">
        <v>655</v>
      </c>
      <c r="D16" s="472"/>
      <c r="E16" s="473"/>
    </row>
    <row r="17" spans="1:5">
      <c r="A17" s="208"/>
      <c r="B17" s="208" t="s">
        <v>70</v>
      </c>
      <c r="C17" s="208" t="s">
        <v>652</v>
      </c>
      <c r="D17" s="472"/>
      <c r="E17" s="473"/>
    </row>
    <row r="18" spans="1:5">
      <c r="A18" s="208"/>
      <c r="B18" s="208" t="s">
        <v>72</v>
      </c>
      <c r="C18" s="211" t="s">
        <v>653</v>
      </c>
      <c r="D18" s="472"/>
      <c r="E18" s="473"/>
    </row>
    <row r="19" spans="1:5">
      <c r="A19" s="208"/>
      <c r="B19" s="208"/>
      <c r="C19" s="208"/>
      <c r="D19" s="472"/>
      <c r="E19" s="473"/>
    </row>
    <row r="20" spans="1:5">
      <c r="A20" s="208" t="s">
        <v>7</v>
      </c>
      <c r="B20" s="208" t="s">
        <v>69</v>
      </c>
      <c r="C20" s="211" t="s">
        <v>656</v>
      </c>
      <c r="D20" s="472"/>
      <c r="E20" s="473"/>
    </row>
    <row r="21" spans="1:5">
      <c r="A21" s="208"/>
      <c r="B21" s="208" t="s">
        <v>70</v>
      </c>
      <c r="C21" s="208" t="s">
        <v>652</v>
      </c>
      <c r="D21" s="472"/>
      <c r="E21" s="473"/>
    </row>
    <row r="22" spans="1:5">
      <c r="A22" s="208"/>
      <c r="B22" s="208" t="s">
        <v>72</v>
      </c>
      <c r="C22" s="211" t="s">
        <v>653</v>
      </c>
      <c r="D22" s="472"/>
      <c r="E22" s="473"/>
    </row>
    <row r="23" spans="1:5">
      <c r="C23" s="212"/>
      <c r="D23" s="201"/>
      <c r="E23" s="201"/>
    </row>
    <row r="24" spans="1:5" ht="14.25">
      <c r="A24" s="468"/>
      <c r="B24" s="468"/>
      <c r="C24" s="468"/>
      <c r="D24" s="468"/>
      <c r="E24" s="468"/>
    </row>
    <row r="25" spans="1:5" ht="14.25">
      <c r="A25" s="468" t="s">
        <v>640</v>
      </c>
      <c r="B25" s="468"/>
      <c r="C25" s="468"/>
      <c r="D25" s="468"/>
      <c r="E25" s="468"/>
    </row>
    <row r="26" spans="1:5" ht="14.25">
      <c r="A26" s="200"/>
      <c r="B26" s="200"/>
    </row>
    <row r="27" spans="1:5" ht="14.25">
      <c r="A27" s="200"/>
      <c r="B27" s="200"/>
    </row>
    <row r="28" spans="1:5">
      <c r="D28" s="205" t="s">
        <v>208</v>
      </c>
    </row>
  </sheetData>
  <mergeCells count="24">
    <mergeCell ref="A1:D1"/>
    <mergeCell ref="A5:C5"/>
    <mergeCell ref="D7:E7"/>
    <mergeCell ref="D8:E8"/>
    <mergeCell ref="A2:C2"/>
    <mergeCell ref="A3:C3"/>
    <mergeCell ref="D2:E2"/>
    <mergeCell ref="D3:E3"/>
    <mergeCell ref="D18:E18"/>
    <mergeCell ref="D9:E9"/>
    <mergeCell ref="D10:E10"/>
    <mergeCell ref="D11:E11"/>
    <mergeCell ref="D12:E12"/>
    <mergeCell ref="D13:E13"/>
    <mergeCell ref="D14:E14"/>
    <mergeCell ref="D15:E15"/>
    <mergeCell ref="D16:E16"/>
    <mergeCell ref="D17:E17"/>
    <mergeCell ref="D19:E19"/>
    <mergeCell ref="A24:E24"/>
    <mergeCell ref="A25:E25"/>
    <mergeCell ref="D20:E20"/>
    <mergeCell ref="D21:E21"/>
    <mergeCell ref="D22:E22"/>
  </mergeCells>
  <phoneticPr fontId="0" type="noConversion"/>
  <pageMargins left="0.9" right="0.36" top="1" bottom="1" header="0.5" footer="0.5"/>
  <pageSetup paperSize="9" scale="70" orientation="portrait" r:id="rId1"/>
  <headerFooter alignWithMargins="0">
    <oddFooter>&amp;LTariff Petition for determination of tariff for FY 2015-16, approval of estimate for 2014-15 and truing up for  FY 2012-13 to FY 2013-14 for RPH</oddFooter>
  </headerFooter>
</worksheet>
</file>

<file path=xl/worksheets/sheet21.xml><?xml version="1.0" encoding="utf-8"?>
<worksheet xmlns="http://schemas.openxmlformats.org/spreadsheetml/2006/main" xmlns:r="http://schemas.openxmlformats.org/officeDocument/2006/relationships">
  <sheetPr>
    <pageSetUpPr fitToPage="1"/>
  </sheetPr>
  <dimension ref="A1:U23"/>
  <sheetViews>
    <sheetView showGridLines="0" topLeftCell="A2" zoomScaleSheetLayoutView="80" workbookViewId="0">
      <selection activeCell="A6" sqref="A6:F6"/>
    </sheetView>
  </sheetViews>
  <sheetFormatPr defaultRowHeight="12.75"/>
  <cols>
    <col min="1" max="1" width="5" style="40" customWidth="1"/>
    <col min="2" max="2" width="32.140625" style="40" customWidth="1"/>
    <col min="3" max="3" width="18" style="40" customWidth="1"/>
    <col min="4" max="4" width="14" style="40" customWidth="1"/>
    <col min="5" max="5" width="11.140625" style="40" customWidth="1"/>
    <col min="6" max="6" width="12.28515625" style="40" customWidth="1"/>
    <col min="7" max="16384" width="9.140625" style="40"/>
  </cols>
  <sheetData>
    <row r="1" spans="1:21" ht="18.75" customHeight="1">
      <c r="A1" s="398"/>
      <c r="B1" s="398"/>
      <c r="C1" s="398"/>
      <c r="D1" s="398"/>
      <c r="E1" s="398"/>
      <c r="F1" s="398"/>
    </row>
    <row r="2" spans="1:21" s="41" customFormat="1">
      <c r="A2" s="400" t="str">
        <f>Index!A2:C2</f>
        <v>Name of Company:</v>
      </c>
      <c r="B2" s="400"/>
      <c r="C2" s="364" t="str">
        <f>Index!D2</f>
        <v>INDRAPRASTHA POWER GENERATION COMPANY LIMITED</v>
      </c>
      <c r="D2" s="364"/>
      <c r="E2" s="106"/>
      <c r="F2" s="106"/>
    </row>
    <row r="3" spans="1:21" s="42" customFormat="1">
      <c r="A3" s="400" t="str">
        <f>Index!A3:C3</f>
        <v>Name of Plant/  Station:</v>
      </c>
      <c r="B3" s="400"/>
      <c r="C3" s="230"/>
      <c r="D3" s="106" t="str">
        <f>Index!D3</f>
        <v>Rajghat Power House</v>
      </c>
      <c r="E3" s="106"/>
      <c r="F3" s="364"/>
    </row>
    <row r="4" spans="1:21" ht="12.75" customHeight="1">
      <c r="A4" s="398"/>
      <c r="B4" s="398"/>
      <c r="C4" s="398"/>
      <c r="D4" s="398"/>
      <c r="E4" s="398"/>
      <c r="F4" s="398"/>
    </row>
    <row r="5" spans="1:21">
      <c r="A5" s="402" t="str">
        <f>Index!D27</f>
        <v>R&amp;M Expenses</v>
      </c>
      <c r="B5" s="402"/>
      <c r="C5" s="402"/>
      <c r="D5" s="402"/>
      <c r="E5" s="52" t="s">
        <v>156</v>
      </c>
      <c r="F5" s="52" t="str">
        <f>Index!C27</f>
        <v>F20</v>
      </c>
    </row>
    <row r="6" spans="1:21">
      <c r="A6" s="475" t="s">
        <v>683</v>
      </c>
      <c r="B6" s="475"/>
      <c r="C6" s="475"/>
      <c r="D6" s="475"/>
      <c r="E6" s="475"/>
      <c r="F6" s="475"/>
    </row>
    <row r="7" spans="1:21" s="43" customFormat="1" ht="15" customHeight="1">
      <c r="A7" s="396"/>
      <c r="B7" s="397" t="s">
        <v>18</v>
      </c>
      <c r="C7" s="73" t="s">
        <v>165</v>
      </c>
      <c r="D7" s="73" t="s">
        <v>166</v>
      </c>
      <c r="E7" s="73" t="s">
        <v>167</v>
      </c>
      <c r="F7" s="73" t="s">
        <v>748</v>
      </c>
    </row>
    <row r="8" spans="1:21" s="43" customFormat="1" ht="15" customHeight="1">
      <c r="A8" s="396"/>
      <c r="B8" s="397"/>
      <c r="C8" s="31" t="s">
        <v>24</v>
      </c>
      <c r="D8" s="31" t="s">
        <v>24</v>
      </c>
      <c r="E8" s="31" t="s">
        <v>8</v>
      </c>
      <c r="F8" s="9" t="s">
        <v>45</v>
      </c>
    </row>
    <row r="9" spans="1:21" s="43" customFormat="1" ht="15" customHeight="1">
      <c r="A9" s="68">
        <v>1</v>
      </c>
      <c r="B9" s="59" t="s">
        <v>46</v>
      </c>
      <c r="C9" s="284">
        <f>1.6328+2.0355+4.5015+5.3303+0.8132+0.1281+0.3891+0.0027+0.0016-0.0013</f>
        <v>14.833500000000001</v>
      </c>
      <c r="D9" s="284">
        <f>1.1761+1.9507+4.5703+5.5989+0.588+0.2689</f>
        <v>14.152899999999999</v>
      </c>
      <c r="E9" s="285">
        <v>16.87</v>
      </c>
      <c r="F9" s="286">
        <f>+E9*108.85%</f>
        <v>18.362995000000002</v>
      </c>
    </row>
    <row r="10" spans="1:21" s="43" customFormat="1" ht="15" customHeight="1">
      <c r="A10" s="68">
        <v>2</v>
      </c>
      <c r="B10" s="59" t="s">
        <v>728</v>
      </c>
      <c r="C10" s="284">
        <v>6.0636000000000001</v>
      </c>
      <c r="D10" s="284">
        <v>6.3601999999999999</v>
      </c>
      <c r="E10" s="285">
        <v>6.6738</v>
      </c>
      <c r="F10" s="286">
        <v>7.0053000000000001</v>
      </c>
    </row>
    <row r="11" spans="1:21" s="43" customFormat="1" ht="15" customHeight="1">
      <c r="A11" s="68">
        <v>3</v>
      </c>
      <c r="B11" s="59" t="s">
        <v>47</v>
      </c>
      <c r="C11" s="284">
        <f>0.9172</f>
        <v>0.91720000000000002</v>
      </c>
      <c r="D11" s="284">
        <v>1.6746000000000001</v>
      </c>
      <c r="E11" s="285">
        <v>2</v>
      </c>
      <c r="F11" s="286">
        <f>+E11*108.85%</f>
        <v>2.177</v>
      </c>
    </row>
    <row r="12" spans="1:21" s="43" customFormat="1" ht="15" customHeight="1">
      <c r="A12" s="68">
        <v>4</v>
      </c>
      <c r="B12" s="59" t="s">
        <v>725</v>
      </c>
      <c r="C12" s="284"/>
      <c r="D12" s="284"/>
      <c r="E12" s="286"/>
      <c r="F12" s="286"/>
    </row>
    <row r="13" spans="1:21" s="43" customFormat="1" ht="15" customHeight="1">
      <c r="A13" s="68">
        <v>5</v>
      </c>
      <c r="B13" s="59" t="s">
        <v>726</v>
      </c>
      <c r="C13" s="284"/>
      <c r="D13" s="284"/>
      <c r="E13" s="286"/>
      <c r="F13" s="286"/>
    </row>
    <row r="14" spans="1:21" s="43" customFormat="1" ht="15" customHeight="1">
      <c r="A14" s="68">
        <v>6</v>
      </c>
      <c r="B14" s="63" t="s">
        <v>14</v>
      </c>
      <c r="C14" s="287"/>
      <c r="D14" s="287"/>
      <c r="E14" s="288"/>
      <c r="F14" s="286"/>
    </row>
    <row r="15" spans="1:21" s="43" customFormat="1" ht="15" customHeight="1">
      <c r="A15" s="68">
        <v>7</v>
      </c>
      <c r="B15" s="63" t="s">
        <v>49</v>
      </c>
      <c r="C15" s="287"/>
      <c r="D15" s="287"/>
      <c r="E15" s="286"/>
      <c r="F15" s="286"/>
      <c r="L15" s="474"/>
      <c r="M15" s="474"/>
      <c r="N15" s="474"/>
      <c r="O15" s="474"/>
      <c r="P15" s="474"/>
      <c r="Q15" s="474"/>
      <c r="R15" s="474"/>
      <c r="S15" s="474"/>
      <c r="T15" s="474"/>
      <c r="U15" s="474"/>
    </row>
    <row r="16" spans="1:21" s="43" customFormat="1" ht="15" customHeight="1">
      <c r="A16" s="68">
        <v>8</v>
      </c>
      <c r="B16" s="63" t="s">
        <v>10</v>
      </c>
      <c r="C16" s="287"/>
      <c r="D16" s="287"/>
      <c r="E16" s="286"/>
      <c r="F16" s="286"/>
    </row>
    <row r="17" spans="1:6" s="43" customFormat="1" ht="15" customHeight="1">
      <c r="A17" s="68">
        <v>9</v>
      </c>
      <c r="B17" s="63" t="s">
        <v>50</v>
      </c>
      <c r="C17" s="287"/>
      <c r="D17" s="287"/>
      <c r="E17" s="289"/>
      <c r="F17" s="289"/>
    </row>
    <row r="18" spans="1:6" s="43" customFormat="1" ht="15" customHeight="1">
      <c r="A18" s="68">
        <v>10</v>
      </c>
      <c r="B18" s="63" t="s">
        <v>11</v>
      </c>
      <c r="C18" s="287"/>
      <c r="D18" s="287"/>
      <c r="E18" s="289"/>
      <c r="F18" s="289"/>
    </row>
    <row r="19" spans="1:6" s="43" customFormat="1" ht="15" customHeight="1">
      <c r="A19" s="68">
        <v>11</v>
      </c>
      <c r="B19" s="63" t="s">
        <v>44</v>
      </c>
      <c r="C19" s="287"/>
      <c r="D19" s="287"/>
      <c r="E19" s="289"/>
      <c r="F19" s="289"/>
    </row>
    <row r="20" spans="1:6" s="43" customFormat="1" ht="15" customHeight="1">
      <c r="A20" s="68">
        <v>12</v>
      </c>
      <c r="B20" s="63" t="s">
        <v>25</v>
      </c>
      <c r="C20" s="287">
        <v>0.10009999999999999</v>
      </c>
      <c r="D20" s="287">
        <f>0.0737+0.4431+0.0129+0.0338+0.0198</f>
        <v>0.58330000000000015</v>
      </c>
      <c r="E20" s="285">
        <v>0.7</v>
      </c>
      <c r="F20" s="286">
        <f>+E20*108.85%</f>
        <v>0.76195000000000002</v>
      </c>
    </row>
    <row r="21" spans="1:6" s="43" customFormat="1" ht="15" customHeight="1">
      <c r="A21" s="68"/>
      <c r="B21" s="61" t="s">
        <v>17</v>
      </c>
      <c r="C21" s="290">
        <f>SUM(C9:C20)</f>
        <v>21.914400000000004</v>
      </c>
      <c r="D21" s="290">
        <f>SUM(D9:D20)</f>
        <v>22.771000000000001</v>
      </c>
      <c r="E21" s="290">
        <f>SUM(E9:E20)</f>
        <v>26.2438</v>
      </c>
      <c r="F21" s="290">
        <f>SUM(F9:F20)</f>
        <v>28.307245000000002</v>
      </c>
    </row>
    <row r="22" spans="1:6">
      <c r="A22" s="89">
        <f>A20+1</f>
        <v>13</v>
      </c>
      <c r="B22" s="87" t="s">
        <v>141</v>
      </c>
      <c r="C22" s="291"/>
      <c r="D22" s="291"/>
      <c r="E22" s="292"/>
      <c r="F22" s="292"/>
    </row>
    <row r="23" spans="1:6">
      <c r="A23" s="86"/>
      <c r="B23" s="88" t="s">
        <v>17</v>
      </c>
      <c r="C23" s="293">
        <f>C21-C22</f>
        <v>21.914400000000004</v>
      </c>
      <c r="D23" s="293">
        <f>D21-D22</f>
        <v>22.771000000000001</v>
      </c>
      <c r="E23" s="293">
        <f>E21-E22</f>
        <v>26.2438</v>
      </c>
      <c r="F23" s="380">
        <f>F21-F22</f>
        <v>28.307245000000002</v>
      </c>
    </row>
  </sheetData>
  <mergeCells count="9">
    <mergeCell ref="A1:F1"/>
    <mergeCell ref="A2:B2"/>
    <mergeCell ref="A3:B3"/>
    <mergeCell ref="A5:D5"/>
    <mergeCell ref="L15:U15"/>
    <mergeCell ref="A4:F4"/>
    <mergeCell ref="A6:F6"/>
    <mergeCell ref="A7:A8"/>
    <mergeCell ref="B7:B8"/>
  </mergeCells>
  <phoneticPr fontId="0" type="noConversion"/>
  <pageMargins left="0.9" right="0.36" top="1" bottom="1" header="0.5" footer="0.5"/>
  <pageSetup paperSize="9" scale="98" orientation="portrait" verticalDpi="300" r:id="rId1"/>
  <headerFooter alignWithMargins="0">
    <oddFooter>&amp;CTariff Petition for determination of tariff for FY 2015-16, approval of estimate for 2014-15 and truing up for  FY 2012-13 to FY 2013-14 for RPH</oddFooter>
  </headerFooter>
</worksheet>
</file>

<file path=xl/worksheets/sheet22.xml><?xml version="1.0" encoding="utf-8"?>
<worksheet xmlns="http://schemas.openxmlformats.org/spreadsheetml/2006/main" xmlns:r="http://schemas.openxmlformats.org/officeDocument/2006/relationships">
  <sheetPr enableFormatConditionsCalculation="0">
    <tabColor indexed="50"/>
    <pageSetUpPr fitToPage="1"/>
  </sheetPr>
  <dimension ref="A1:G32"/>
  <sheetViews>
    <sheetView showGridLines="0" showWhiteSpace="0" topLeftCell="A19" zoomScaleSheetLayoutView="80" workbookViewId="0">
      <selection activeCell="F9" sqref="F9"/>
    </sheetView>
  </sheetViews>
  <sheetFormatPr defaultRowHeight="15" customHeight="1"/>
  <cols>
    <col min="1" max="1" width="3.42578125" style="1" bestFit="1" customWidth="1"/>
    <col min="2" max="2" width="50" style="3" bestFit="1" customWidth="1"/>
    <col min="3" max="3" width="13.28515625" style="3" customWidth="1"/>
    <col min="4" max="4" width="13.42578125" style="3" customWidth="1"/>
    <col min="5" max="5" width="11.140625" style="3" customWidth="1"/>
    <col min="6" max="6" width="17.5703125" style="1" customWidth="1"/>
    <col min="7" max="16384" width="9.140625" style="1"/>
  </cols>
  <sheetData>
    <row r="1" spans="1:7" s="4" customFormat="1" ht="15" customHeight="1">
      <c r="A1" s="398"/>
      <c r="B1" s="398"/>
      <c r="C1" s="398"/>
      <c r="D1" s="398"/>
      <c r="E1" s="398"/>
      <c r="F1" s="398"/>
    </row>
    <row r="2" spans="1:7" s="5" customFormat="1" ht="15" customHeight="1">
      <c r="A2" s="400" t="str">
        <f>Index!A2:C2</f>
        <v>Name of Company:</v>
      </c>
      <c r="B2" s="400"/>
      <c r="C2" s="364" t="str">
        <f>Index!D2</f>
        <v>INDRAPRASTHA POWER GENERATION COMPANY LIMITED</v>
      </c>
      <c r="D2" s="364"/>
      <c r="E2" s="106"/>
      <c r="F2" s="106"/>
      <c r="G2" s="8"/>
    </row>
    <row r="3" spans="1:7" s="2" customFormat="1" ht="15" customHeight="1">
      <c r="A3" s="400" t="str">
        <f>Index!A3:C3</f>
        <v>Name of Plant/  Station:</v>
      </c>
      <c r="B3" s="400"/>
      <c r="C3" s="230"/>
      <c r="D3" s="365" t="str">
        <f>Index!D3</f>
        <v>Rajghat Power House</v>
      </c>
      <c r="E3" s="365"/>
      <c r="F3" s="364"/>
    </row>
    <row r="4" spans="1:7" ht="15" customHeight="1">
      <c r="A4" s="398"/>
      <c r="B4" s="398"/>
      <c r="C4" s="398"/>
      <c r="D4" s="398"/>
      <c r="E4" s="398"/>
      <c r="F4" s="398"/>
    </row>
    <row r="5" spans="1:7" ht="15" customHeight="1">
      <c r="A5" s="402" t="str">
        <f>Index!D28</f>
        <v>Employee Expenses</v>
      </c>
      <c r="B5" s="402"/>
      <c r="C5" s="402"/>
      <c r="D5" s="402"/>
      <c r="E5" s="52" t="s">
        <v>156</v>
      </c>
      <c r="F5" s="52" t="str">
        <f>Index!C28</f>
        <v>F21</v>
      </c>
    </row>
    <row r="6" spans="1:7" ht="15" customHeight="1">
      <c r="A6" s="475" t="s">
        <v>683</v>
      </c>
      <c r="B6" s="475"/>
      <c r="C6" s="475"/>
      <c r="D6" s="475"/>
      <c r="E6" s="475"/>
      <c r="F6" s="475"/>
    </row>
    <row r="7" spans="1:7" ht="15" customHeight="1">
      <c r="A7" s="396"/>
      <c r="B7" s="397" t="s">
        <v>18</v>
      </c>
      <c r="C7" s="73" t="s">
        <v>165</v>
      </c>
      <c r="D7" s="73" t="s">
        <v>166</v>
      </c>
      <c r="E7" s="73" t="s">
        <v>167</v>
      </c>
      <c r="F7" s="73" t="s">
        <v>748</v>
      </c>
    </row>
    <row r="8" spans="1:7" ht="15" customHeight="1">
      <c r="A8" s="396"/>
      <c r="B8" s="397"/>
      <c r="C8" s="31" t="s">
        <v>24</v>
      </c>
      <c r="D8" s="31" t="s">
        <v>24</v>
      </c>
      <c r="E8" s="31" t="s">
        <v>8</v>
      </c>
      <c r="F8" s="9" t="s">
        <v>45</v>
      </c>
    </row>
    <row r="9" spans="1:7" ht="15" customHeight="1">
      <c r="A9" s="63">
        <v>1</v>
      </c>
      <c r="B9" s="63" t="s">
        <v>51</v>
      </c>
      <c r="C9" s="75">
        <f>1.3978+31.0147+0.0465+5.687+5.3811</f>
        <v>43.527100000000004</v>
      </c>
      <c r="D9" s="75">
        <f>1.3717+32.1161+0.012+5.5878+1.5098</f>
        <v>40.5974</v>
      </c>
      <c r="E9" s="75">
        <f>D9</f>
        <v>40.5974</v>
      </c>
      <c r="F9" s="75">
        <f>E9*108.85%</f>
        <v>44.190269900000004</v>
      </c>
    </row>
    <row r="10" spans="1:7" ht="15" customHeight="1">
      <c r="A10" s="63">
        <f t="shared" ref="A10:A29" si="0">A9+1</f>
        <v>2</v>
      </c>
      <c r="B10" s="63" t="s">
        <v>22</v>
      </c>
      <c r="C10" s="75"/>
      <c r="D10" s="75"/>
      <c r="E10" s="75"/>
      <c r="F10" s="75"/>
    </row>
    <row r="11" spans="1:7" ht="15" customHeight="1">
      <c r="A11" s="63">
        <f t="shared" si="0"/>
        <v>3</v>
      </c>
      <c r="B11" s="63" t="s">
        <v>132</v>
      </c>
      <c r="C11" s="75"/>
      <c r="D11" s="75"/>
      <c r="E11" s="75"/>
      <c r="F11" s="75"/>
    </row>
    <row r="12" spans="1:7" ht="15" customHeight="1">
      <c r="A12" s="63">
        <f t="shared" si="0"/>
        <v>4</v>
      </c>
      <c r="B12" s="63" t="s">
        <v>52</v>
      </c>
      <c r="C12" s="75"/>
      <c r="D12" s="75"/>
      <c r="E12" s="75"/>
      <c r="F12" s="75"/>
    </row>
    <row r="13" spans="1:7" ht="15" customHeight="1">
      <c r="A13" s="63">
        <f t="shared" si="0"/>
        <v>5</v>
      </c>
      <c r="B13" s="63" t="s">
        <v>133</v>
      </c>
      <c r="C13" s="75"/>
      <c r="D13" s="75"/>
      <c r="E13" s="75"/>
      <c r="F13" s="75"/>
    </row>
    <row r="14" spans="1:7" ht="15" customHeight="1">
      <c r="A14" s="63">
        <f t="shared" si="0"/>
        <v>6</v>
      </c>
      <c r="B14" s="63" t="s">
        <v>112</v>
      </c>
      <c r="C14" s="75"/>
      <c r="D14" s="75"/>
      <c r="E14" s="75"/>
      <c r="F14" s="75"/>
    </row>
    <row r="15" spans="1:7" ht="15" customHeight="1">
      <c r="A15" s="63">
        <f t="shared" si="0"/>
        <v>7</v>
      </c>
      <c r="B15" s="63" t="s">
        <v>56</v>
      </c>
      <c r="C15" s="75"/>
      <c r="D15" s="75"/>
      <c r="E15" s="75"/>
      <c r="F15" s="75"/>
    </row>
    <row r="16" spans="1:7" ht="15" customHeight="1">
      <c r="A16" s="63">
        <f t="shared" si="0"/>
        <v>8</v>
      </c>
      <c r="B16" s="63" t="s">
        <v>134</v>
      </c>
      <c r="C16" s="75"/>
      <c r="D16" s="75"/>
      <c r="E16" s="75"/>
      <c r="F16" s="75"/>
    </row>
    <row r="17" spans="1:6" ht="15" customHeight="1">
      <c r="A17" s="63">
        <f t="shared" si="0"/>
        <v>9</v>
      </c>
      <c r="B17" s="63" t="s">
        <v>53</v>
      </c>
      <c r="C17" s="75"/>
      <c r="D17" s="75"/>
      <c r="E17" s="75"/>
      <c r="F17" s="75"/>
    </row>
    <row r="18" spans="1:6" ht="15" customHeight="1">
      <c r="A18" s="63">
        <f t="shared" si="0"/>
        <v>10</v>
      </c>
      <c r="B18" s="63" t="s">
        <v>54</v>
      </c>
      <c r="C18" s="75"/>
      <c r="D18" s="75"/>
      <c r="E18" s="75"/>
      <c r="F18" s="75"/>
    </row>
    <row r="19" spans="1:6" ht="15" customHeight="1">
      <c r="A19" s="63">
        <f t="shared" si="0"/>
        <v>11</v>
      </c>
      <c r="B19" s="63" t="s">
        <v>55</v>
      </c>
      <c r="C19" s="75"/>
      <c r="D19" s="75"/>
      <c r="E19" s="75"/>
      <c r="F19" s="75"/>
    </row>
    <row r="20" spans="1:6" ht="15" customHeight="1">
      <c r="A20" s="63">
        <f t="shared" si="0"/>
        <v>12</v>
      </c>
      <c r="B20" s="63" t="s">
        <v>12</v>
      </c>
      <c r="C20" s="75"/>
      <c r="D20" s="75"/>
      <c r="E20" s="75"/>
      <c r="F20" s="75"/>
    </row>
    <row r="21" spans="1:6" ht="15" customHeight="1">
      <c r="A21" s="63">
        <f t="shared" si="0"/>
        <v>13</v>
      </c>
      <c r="B21" s="63" t="s">
        <v>145</v>
      </c>
      <c r="C21" s="75"/>
      <c r="D21" s="75"/>
      <c r="E21" s="75"/>
      <c r="F21" s="75"/>
    </row>
    <row r="22" spans="1:6" ht="15" customHeight="1">
      <c r="A22" s="63">
        <f t="shared" si="0"/>
        <v>14</v>
      </c>
      <c r="B22" s="63" t="s">
        <v>57</v>
      </c>
      <c r="C22" s="75"/>
      <c r="D22" s="75"/>
      <c r="E22" s="75"/>
      <c r="F22" s="75"/>
    </row>
    <row r="23" spans="1:6" ht="15" customHeight="1">
      <c r="A23" s="63">
        <f t="shared" si="0"/>
        <v>15</v>
      </c>
      <c r="B23" s="63" t="s">
        <v>43</v>
      </c>
      <c r="C23" s="75"/>
      <c r="D23" s="75"/>
      <c r="E23" s="75"/>
      <c r="F23" s="75"/>
    </row>
    <row r="24" spans="1:6" ht="15" customHeight="1">
      <c r="A24" s="63">
        <f t="shared" si="0"/>
        <v>16</v>
      </c>
      <c r="B24" s="63" t="s">
        <v>58</v>
      </c>
      <c r="C24" s="75"/>
      <c r="D24" s="75"/>
      <c r="E24" s="75"/>
      <c r="F24" s="75"/>
    </row>
    <row r="25" spans="1:6" ht="15" customHeight="1">
      <c r="A25" s="63">
        <f t="shared" si="0"/>
        <v>17</v>
      </c>
      <c r="B25" s="63" t="s">
        <v>59</v>
      </c>
      <c r="C25" s="75"/>
      <c r="D25" s="75"/>
      <c r="E25" s="75"/>
      <c r="F25" s="75"/>
    </row>
    <row r="26" spans="1:6" ht="15" customHeight="1">
      <c r="A26" s="63">
        <f t="shared" si="0"/>
        <v>18</v>
      </c>
      <c r="B26" s="63" t="s">
        <v>146</v>
      </c>
      <c r="C26" s="75"/>
      <c r="D26" s="75"/>
      <c r="E26" s="75"/>
      <c r="F26" s="75"/>
    </row>
    <row r="27" spans="1:6" ht="15" customHeight="1">
      <c r="A27" s="63">
        <f t="shared" si="0"/>
        <v>19</v>
      </c>
      <c r="B27" s="63" t="s">
        <v>147</v>
      </c>
      <c r="C27" s="75"/>
      <c r="D27" s="75"/>
      <c r="E27" s="75"/>
      <c r="F27" s="75"/>
    </row>
    <row r="28" spans="1:6" ht="15" customHeight="1">
      <c r="A28" s="63">
        <f t="shared" si="0"/>
        <v>20</v>
      </c>
      <c r="B28" s="63" t="s">
        <v>148</v>
      </c>
      <c r="C28" s="75"/>
      <c r="D28" s="75"/>
      <c r="E28" s="75"/>
      <c r="F28" s="75"/>
    </row>
    <row r="29" spans="1:6" ht="15" customHeight="1">
      <c r="A29" s="63">
        <f t="shared" si="0"/>
        <v>21</v>
      </c>
      <c r="B29" s="63" t="s">
        <v>60</v>
      </c>
      <c r="C29" s="75"/>
      <c r="D29" s="75"/>
      <c r="E29" s="75"/>
      <c r="F29" s="75"/>
    </row>
    <row r="30" spans="1:6" ht="15" customHeight="1">
      <c r="A30" s="61"/>
      <c r="B30" s="61" t="s">
        <v>266</v>
      </c>
      <c r="C30" s="238">
        <f>SUM(C9:C29)</f>
        <v>43.527100000000004</v>
      </c>
      <c r="D30" s="238">
        <f>SUM(D9:D29)</f>
        <v>40.5974</v>
      </c>
      <c r="E30" s="238">
        <f>SUM(E9:E29)</f>
        <v>40.5974</v>
      </c>
      <c r="F30" s="238">
        <f>SUM(F9:F29)</f>
        <v>44.190269900000004</v>
      </c>
    </row>
    <row r="31" spans="1:6" ht="15" customHeight="1">
      <c r="A31" s="63">
        <f>A29+1</f>
        <v>22</v>
      </c>
      <c r="B31" s="63" t="s">
        <v>267</v>
      </c>
      <c r="C31" s="75"/>
      <c r="D31" s="75"/>
      <c r="E31" s="75"/>
      <c r="F31" s="75"/>
    </row>
    <row r="32" spans="1:6" ht="15" customHeight="1">
      <c r="A32" s="63"/>
      <c r="B32" s="61" t="s">
        <v>135</v>
      </c>
      <c r="C32" s="238">
        <f>C30-C31</f>
        <v>43.527100000000004</v>
      </c>
      <c r="D32" s="238">
        <f>D30-D31</f>
        <v>40.5974</v>
      </c>
      <c r="E32" s="238">
        <f>E30-E31</f>
        <v>40.5974</v>
      </c>
      <c r="F32" s="238">
        <f>F30-F31</f>
        <v>44.190269900000004</v>
      </c>
    </row>
  </sheetData>
  <mergeCells count="8">
    <mergeCell ref="B7:B8"/>
    <mergeCell ref="A1:F1"/>
    <mergeCell ref="A2:B2"/>
    <mergeCell ref="A3:B3"/>
    <mergeCell ref="A4:F4"/>
    <mergeCell ref="A6:F6"/>
    <mergeCell ref="A7:A8"/>
    <mergeCell ref="A5:D5"/>
  </mergeCells>
  <phoneticPr fontId="0" type="noConversion"/>
  <pageMargins left="0.9" right="0.36" top="1" bottom="1" header="0.5" footer="0.5"/>
  <pageSetup paperSize="9" scale="83" orientation="portrait" verticalDpi="300" r:id="rId1"/>
  <headerFooter alignWithMargins="0">
    <oddFooter>&amp;CTariff Petition for determination of tariff for FY 2015-16, approval of estimate for 2014-15 and truing up for  FY 2012-13 to FY 2013-14 for RPH</oddFooter>
  </headerFooter>
</worksheet>
</file>

<file path=xl/worksheets/sheet23.xml><?xml version="1.0" encoding="utf-8"?>
<worksheet xmlns="http://schemas.openxmlformats.org/spreadsheetml/2006/main" xmlns:r="http://schemas.openxmlformats.org/officeDocument/2006/relationships">
  <sheetPr enableFormatConditionsCalculation="0">
    <tabColor indexed="50"/>
    <pageSetUpPr fitToPage="1"/>
  </sheetPr>
  <dimension ref="A1:F58"/>
  <sheetViews>
    <sheetView showGridLines="0" topLeftCell="A16" zoomScaleSheetLayoutView="80" workbookViewId="0">
      <selection activeCell="E11" sqref="E11"/>
    </sheetView>
  </sheetViews>
  <sheetFormatPr defaultRowHeight="15" customHeight="1"/>
  <cols>
    <col min="1" max="1" width="3" style="37" customWidth="1"/>
    <col min="2" max="2" width="54.140625" style="38" bestFit="1" customWidth="1"/>
    <col min="3" max="3" width="12.42578125" style="38" customWidth="1"/>
    <col min="4" max="4" width="12.28515625" style="38" customWidth="1"/>
    <col min="5" max="5" width="13.28515625" style="38" customWidth="1"/>
    <col min="6" max="6" width="16.42578125" style="37" customWidth="1"/>
    <col min="7" max="16384" width="9.140625" style="37"/>
  </cols>
  <sheetData>
    <row r="1" spans="1:6" ht="15" customHeight="1">
      <c r="A1" s="398"/>
      <c r="B1" s="398"/>
      <c r="C1" s="398"/>
      <c r="D1" s="398"/>
      <c r="E1" s="398"/>
      <c r="F1" s="398"/>
    </row>
    <row r="2" spans="1:6" s="34" customFormat="1" ht="15" customHeight="1">
      <c r="A2" s="400" t="str">
        <f>Index!A2:C2</f>
        <v>Name of Company:</v>
      </c>
      <c r="B2" s="400"/>
      <c r="C2" s="364" t="str">
        <f>Index!D2</f>
        <v>INDRAPRASTHA POWER GENERATION COMPANY LIMITED</v>
      </c>
      <c r="D2" s="364"/>
      <c r="E2" s="106"/>
      <c r="F2" s="106"/>
    </row>
    <row r="3" spans="1:6" s="7" customFormat="1" ht="15" customHeight="1">
      <c r="A3" s="400" t="str">
        <f>Index!A3:C3</f>
        <v>Name of Plant/  Station:</v>
      </c>
      <c r="B3" s="400"/>
      <c r="C3" s="230"/>
      <c r="D3" s="106" t="str">
        <f>Index!D3</f>
        <v>Rajghat Power House</v>
      </c>
      <c r="E3" s="365"/>
      <c r="F3" s="364"/>
    </row>
    <row r="4" spans="1:6" s="36" customFormat="1" ht="15" customHeight="1">
      <c r="A4" s="398"/>
      <c r="B4" s="398"/>
      <c r="C4" s="398"/>
      <c r="D4" s="398"/>
      <c r="E4" s="398"/>
      <c r="F4" s="398"/>
    </row>
    <row r="5" spans="1:6" s="36" customFormat="1" ht="15" customHeight="1">
      <c r="A5" s="402" t="str">
        <f>Index!D29</f>
        <v>Administration &amp; General Expenses</v>
      </c>
      <c r="B5" s="402"/>
      <c r="C5" s="402"/>
      <c r="D5" s="402"/>
      <c r="E5" s="318" t="s">
        <v>156</v>
      </c>
      <c r="F5" s="367" t="str">
        <f>Index!C29</f>
        <v>F22</v>
      </c>
    </row>
    <row r="6" spans="1:6" ht="15" customHeight="1">
      <c r="A6" s="475" t="s">
        <v>683</v>
      </c>
      <c r="B6" s="475"/>
      <c r="C6" s="475"/>
      <c r="D6" s="475"/>
      <c r="E6" s="475"/>
      <c r="F6" s="475"/>
    </row>
    <row r="7" spans="1:6" ht="15" customHeight="1">
      <c r="A7" s="396"/>
      <c r="B7" s="397" t="s">
        <v>18</v>
      </c>
      <c r="C7" s="73" t="s">
        <v>165</v>
      </c>
      <c r="D7" s="73" t="s">
        <v>166</v>
      </c>
      <c r="E7" s="73" t="s">
        <v>167</v>
      </c>
      <c r="F7" s="73" t="s">
        <v>748</v>
      </c>
    </row>
    <row r="8" spans="1:6" ht="15" customHeight="1">
      <c r="A8" s="396"/>
      <c r="B8" s="397"/>
      <c r="C8" s="31" t="s">
        <v>24</v>
      </c>
      <c r="D8" s="31" t="s">
        <v>24</v>
      </c>
      <c r="E8" s="31" t="s">
        <v>8</v>
      </c>
      <c r="F8" s="9" t="s">
        <v>45</v>
      </c>
    </row>
    <row r="9" spans="1:6" ht="15" customHeight="1">
      <c r="A9" s="63">
        <v>1</v>
      </c>
      <c r="B9" s="63" t="s">
        <v>136</v>
      </c>
      <c r="C9" s="63"/>
      <c r="D9" s="63"/>
      <c r="E9" s="63"/>
      <c r="F9" s="63"/>
    </row>
    <row r="10" spans="1:6" ht="15" customHeight="1">
      <c r="A10" s="63">
        <f>A9+1</f>
        <v>2</v>
      </c>
      <c r="B10" s="63" t="s">
        <v>13</v>
      </c>
      <c r="C10" s="75">
        <v>1.2885</v>
      </c>
      <c r="D10" s="75">
        <v>1.2712000000000001</v>
      </c>
      <c r="E10" s="75">
        <v>1.32</v>
      </c>
      <c r="F10" s="75">
        <f>+E10*108.85%</f>
        <v>1.4368200000000002</v>
      </c>
    </row>
    <row r="11" spans="1:6" ht="15" customHeight="1">
      <c r="A11" s="63">
        <f t="shared" ref="A11:A38" si="0">A10+1</f>
        <v>3</v>
      </c>
      <c r="B11" s="63" t="s">
        <v>62</v>
      </c>
      <c r="C11" s="75"/>
      <c r="D11" s="75"/>
      <c r="E11" s="75"/>
      <c r="F11" s="75"/>
    </row>
    <row r="12" spans="1:6" ht="15" customHeight="1">
      <c r="A12" s="63">
        <f t="shared" si="0"/>
        <v>4</v>
      </c>
      <c r="B12" s="63" t="s">
        <v>28</v>
      </c>
      <c r="C12" s="75"/>
      <c r="D12" s="75"/>
      <c r="E12" s="75"/>
      <c r="F12" s="75"/>
    </row>
    <row r="13" spans="1:6" ht="15" customHeight="1">
      <c r="A13" s="63">
        <f t="shared" si="0"/>
        <v>5</v>
      </c>
      <c r="B13" s="63" t="s">
        <v>63</v>
      </c>
      <c r="C13" s="75"/>
      <c r="D13" s="75"/>
      <c r="E13" s="75"/>
      <c r="F13" s="75"/>
    </row>
    <row r="14" spans="1:6" ht="15" customHeight="1">
      <c r="A14" s="63">
        <f t="shared" si="0"/>
        <v>6</v>
      </c>
      <c r="B14" s="63" t="s">
        <v>64</v>
      </c>
      <c r="C14" s="75"/>
      <c r="D14" s="75"/>
      <c r="E14" s="75"/>
      <c r="F14" s="75"/>
    </row>
    <row r="15" spans="1:6" ht="15" customHeight="1">
      <c r="A15" s="63">
        <f t="shared" si="0"/>
        <v>7</v>
      </c>
      <c r="B15" s="63" t="s">
        <v>65</v>
      </c>
      <c r="C15" s="75"/>
      <c r="D15" s="75"/>
      <c r="E15" s="75"/>
      <c r="F15" s="75"/>
    </row>
    <row r="16" spans="1:6" ht="15" customHeight="1">
      <c r="A16" s="63">
        <f t="shared" si="0"/>
        <v>8</v>
      </c>
      <c r="B16" s="63" t="s">
        <v>66</v>
      </c>
      <c r="C16" s="75"/>
      <c r="D16" s="75"/>
      <c r="E16" s="75"/>
      <c r="F16" s="75"/>
    </row>
    <row r="17" spans="1:6" ht="15" customHeight="1">
      <c r="A17" s="63">
        <f t="shared" si="0"/>
        <v>9</v>
      </c>
      <c r="B17" s="63" t="s">
        <v>27</v>
      </c>
      <c r="C17" s="75"/>
      <c r="D17" s="75"/>
      <c r="E17" s="75"/>
      <c r="F17" s="75"/>
    </row>
    <row r="18" spans="1:6" ht="15" customHeight="1">
      <c r="A18" s="63">
        <f t="shared" si="0"/>
        <v>10</v>
      </c>
      <c r="B18" s="63" t="s">
        <v>137</v>
      </c>
      <c r="C18" s="75"/>
      <c r="D18" s="75"/>
      <c r="E18" s="75"/>
      <c r="F18" s="75"/>
    </row>
    <row r="19" spans="1:6" ht="15" customHeight="1">
      <c r="A19" s="63">
        <f t="shared" si="0"/>
        <v>11</v>
      </c>
      <c r="B19" s="63" t="s">
        <v>268</v>
      </c>
      <c r="C19" s="75"/>
      <c r="D19" s="75"/>
      <c r="E19" s="75"/>
      <c r="F19" s="75"/>
    </row>
    <row r="20" spans="1:6" ht="15" customHeight="1">
      <c r="A20" s="63">
        <f t="shared" si="0"/>
        <v>12</v>
      </c>
      <c r="B20" s="63" t="s">
        <v>67</v>
      </c>
      <c r="C20" s="75">
        <f>4.6965-0.0108</f>
        <v>4.6857000000000006</v>
      </c>
      <c r="D20" s="75">
        <f>5.22+0.0312+0.0128</f>
        <v>5.2640000000000002</v>
      </c>
      <c r="E20" s="75">
        <v>4.7300000000000004</v>
      </c>
      <c r="F20" s="75">
        <f>+E20*108.85%</f>
        <v>5.1486050000000008</v>
      </c>
    </row>
    <row r="21" spans="1:6" ht="15" customHeight="1">
      <c r="A21" s="63">
        <f t="shared" si="0"/>
        <v>13</v>
      </c>
      <c r="B21" s="63" t="s">
        <v>68</v>
      </c>
      <c r="C21" s="75"/>
      <c r="D21" s="75"/>
      <c r="E21" s="75"/>
      <c r="F21" s="75"/>
    </row>
    <row r="22" spans="1:6" ht="15" customHeight="1">
      <c r="A22" s="63">
        <f t="shared" si="0"/>
        <v>14</v>
      </c>
      <c r="B22" s="63" t="s">
        <v>81</v>
      </c>
      <c r="C22" s="75"/>
      <c r="D22" s="75"/>
      <c r="E22" s="75"/>
      <c r="F22" s="75"/>
    </row>
    <row r="23" spans="1:6" ht="15" customHeight="1">
      <c r="A23" s="63">
        <f t="shared" si="0"/>
        <v>15</v>
      </c>
      <c r="B23" s="63" t="s">
        <v>269</v>
      </c>
      <c r="C23" s="75"/>
      <c r="D23" s="75"/>
      <c r="E23" s="75"/>
      <c r="F23" s="75"/>
    </row>
    <row r="24" spans="1:6" ht="15" customHeight="1">
      <c r="A24" s="63">
        <f t="shared" si="0"/>
        <v>16</v>
      </c>
      <c r="B24" s="30" t="s">
        <v>30</v>
      </c>
      <c r="C24" s="275"/>
      <c r="D24" s="275"/>
      <c r="E24" s="276"/>
      <c r="F24" s="275"/>
    </row>
    <row r="25" spans="1:6" ht="15" customHeight="1">
      <c r="A25" s="63">
        <f t="shared" si="0"/>
        <v>17</v>
      </c>
      <c r="B25" s="29" t="s">
        <v>82</v>
      </c>
      <c r="C25" s="276"/>
      <c r="D25" s="276"/>
      <c r="E25" s="277"/>
      <c r="F25" s="277"/>
    </row>
    <row r="26" spans="1:6" ht="15" customHeight="1">
      <c r="A26" s="63">
        <f t="shared" si="0"/>
        <v>18</v>
      </c>
      <c r="B26" s="29" t="s">
        <v>83</v>
      </c>
      <c r="C26" s="276"/>
      <c r="D26" s="276"/>
      <c r="E26" s="277"/>
      <c r="F26" s="277"/>
    </row>
    <row r="27" spans="1:6" ht="15" customHeight="1">
      <c r="A27" s="63">
        <f t="shared" si="0"/>
        <v>19</v>
      </c>
      <c r="B27" s="29" t="s">
        <v>84</v>
      </c>
      <c r="C27" s="276"/>
      <c r="D27" s="276"/>
      <c r="E27" s="276"/>
      <c r="F27" s="276"/>
    </row>
    <row r="28" spans="1:6" ht="15" customHeight="1">
      <c r="A28" s="63">
        <f t="shared" si="0"/>
        <v>20</v>
      </c>
      <c r="B28" s="29" t="s">
        <v>85</v>
      </c>
      <c r="C28" s="276">
        <f>0.6769+0.8961+0.4481+0.1962+0.0019+0.0009+(0.09889*33.33%)</f>
        <v>2.2530600370000005</v>
      </c>
      <c r="D28" s="276">
        <f>1.825+0.2524+0.6039+0.0003+0.0294+0.0714</f>
        <v>2.7824</v>
      </c>
      <c r="E28" s="75">
        <v>3.32</v>
      </c>
      <c r="F28" s="75">
        <f>+E28*108.85%</f>
        <v>3.61382</v>
      </c>
    </row>
    <row r="29" spans="1:6" ht="15" customHeight="1">
      <c r="A29" s="63">
        <f t="shared" si="0"/>
        <v>21</v>
      </c>
      <c r="B29" s="29" t="s">
        <v>86</v>
      </c>
      <c r="C29" s="276"/>
      <c r="D29" s="276"/>
      <c r="E29" s="276"/>
      <c r="F29" s="276"/>
    </row>
    <row r="30" spans="1:6" ht="15" customHeight="1">
      <c r="A30" s="63">
        <f t="shared" si="0"/>
        <v>22</v>
      </c>
      <c r="B30" s="95" t="s">
        <v>29</v>
      </c>
      <c r="C30" s="278"/>
      <c r="D30" s="278"/>
      <c r="E30" s="278"/>
      <c r="F30" s="279"/>
    </row>
    <row r="31" spans="1:6" ht="15" customHeight="1">
      <c r="A31" s="63">
        <f t="shared" si="0"/>
        <v>23</v>
      </c>
      <c r="B31" s="95" t="s">
        <v>87</v>
      </c>
      <c r="C31" s="278"/>
      <c r="D31" s="278"/>
      <c r="E31" s="278"/>
      <c r="F31" s="279"/>
    </row>
    <row r="32" spans="1:6" ht="15" customHeight="1">
      <c r="A32" s="63">
        <f t="shared" si="0"/>
        <v>24</v>
      </c>
      <c r="B32" s="95" t="s">
        <v>88</v>
      </c>
      <c r="C32" s="278"/>
      <c r="D32" s="278"/>
      <c r="E32" s="278"/>
      <c r="F32" s="279"/>
    </row>
    <row r="33" spans="1:6" ht="15" customHeight="1">
      <c r="A33" s="63">
        <f t="shared" si="0"/>
        <v>25</v>
      </c>
      <c r="B33" s="29" t="s">
        <v>89</v>
      </c>
      <c r="C33" s="276"/>
      <c r="D33" s="276"/>
      <c r="E33" s="276"/>
      <c r="F33" s="275"/>
    </row>
    <row r="34" spans="1:6" ht="15" customHeight="1">
      <c r="A34" s="63">
        <f t="shared" si="0"/>
        <v>26</v>
      </c>
      <c r="B34" s="29" t="s">
        <v>90</v>
      </c>
      <c r="C34" s="276"/>
      <c r="D34" s="276"/>
      <c r="E34" s="276"/>
      <c r="F34" s="275"/>
    </row>
    <row r="35" spans="1:6" ht="15" customHeight="1">
      <c r="A35" s="63">
        <f t="shared" si="0"/>
        <v>27</v>
      </c>
      <c r="B35" s="29" t="s">
        <v>91</v>
      </c>
      <c r="C35" s="276"/>
      <c r="D35" s="276"/>
      <c r="E35" s="276"/>
      <c r="F35" s="275"/>
    </row>
    <row r="36" spans="1:6" ht="15" customHeight="1">
      <c r="A36" s="63">
        <f t="shared" si="0"/>
        <v>28</v>
      </c>
      <c r="B36" s="29" t="s">
        <v>92</v>
      </c>
      <c r="C36" s="276"/>
      <c r="D36" s="276"/>
      <c r="E36" s="276"/>
      <c r="F36" s="275"/>
    </row>
    <row r="37" spans="1:6" ht="15" customHeight="1">
      <c r="A37" s="63">
        <f t="shared" si="0"/>
        <v>29</v>
      </c>
      <c r="B37" s="29" t="s">
        <v>93</v>
      </c>
      <c r="C37" s="276"/>
      <c r="D37" s="276"/>
      <c r="E37" s="276"/>
      <c r="F37" s="275"/>
    </row>
    <row r="38" spans="1:6" ht="15" customHeight="1">
      <c r="A38" s="63">
        <f t="shared" si="0"/>
        <v>30</v>
      </c>
      <c r="B38" s="29" t="s">
        <v>94</v>
      </c>
      <c r="C38" s="276"/>
      <c r="D38" s="276"/>
      <c r="E38" s="276"/>
      <c r="F38" s="275"/>
    </row>
    <row r="39" spans="1:6" ht="15" customHeight="1">
      <c r="A39" s="63"/>
      <c r="B39" s="29" t="s">
        <v>717</v>
      </c>
      <c r="C39" s="276"/>
      <c r="D39" s="276"/>
      <c r="E39" s="276"/>
      <c r="F39" s="275"/>
    </row>
    <row r="40" spans="1:6" ht="15" customHeight="1">
      <c r="A40" s="63">
        <f>A38+1</f>
        <v>31</v>
      </c>
      <c r="B40" s="29" t="s">
        <v>95</v>
      </c>
      <c r="C40" s="276"/>
      <c r="D40" s="276"/>
      <c r="E40" s="276"/>
      <c r="F40" s="275"/>
    </row>
    <row r="41" spans="1:6" ht="15" customHeight="1">
      <c r="A41" s="30"/>
      <c r="B41" s="96" t="s">
        <v>270</v>
      </c>
      <c r="C41" s="277">
        <f>SUM(C9:C40)</f>
        <v>8.2272600370000006</v>
      </c>
      <c r="D41" s="277">
        <f>SUM(D9:D40)</f>
        <v>9.3176000000000005</v>
      </c>
      <c r="E41" s="277">
        <f>SUM(E9:E40)</f>
        <v>9.370000000000001</v>
      </c>
      <c r="F41" s="277">
        <f>SUM(F9:F40)</f>
        <v>10.199245000000001</v>
      </c>
    </row>
    <row r="42" spans="1:6" ht="15" customHeight="1">
      <c r="A42" s="30"/>
      <c r="B42" s="29" t="s">
        <v>271</v>
      </c>
      <c r="C42" s="276"/>
      <c r="D42" s="276"/>
      <c r="E42" s="276"/>
      <c r="F42" s="276"/>
    </row>
    <row r="43" spans="1:6" ht="15" customHeight="1">
      <c r="A43" s="30"/>
      <c r="B43" s="96" t="s">
        <v>270</v>
      </c>
      <c r="C43" s="277">
        <f>C41-C42</f>
        <v>8.2272600370000006</v>
      </c>
      <c r="D43" s="277">
        <f>D41-D42</f>
        <v>9.3176000000000005</v>
      </c>
      <c r="E43" s="277">
        <f>E41-E42</f>
        <v>9.370000000000001</v>
      </c>
      <c r="F43" s="277">
        <f>F41-F42</f>
        <v>10.199245000000001</v>
      </c>
    </row>
    <row r="44" spans="1:6" ht="15" customHeight="1">
      <c r="E44" s="102"/>
      <c r="F44" s="39"/>
    </row>
    <row r="45" spans="1:6" ht="15" customHeight="1">
      <c r="E45" s="102"/>
      <c r="F45" s="39"/>
    </row>
    <row r="46" spans="1:6" ht="15" customHeight="1">
      <c r="E46" s="102"/>
      <c r="F46" s="39"/>
    </row>
    <row r="47" spans="1:6" ht="15" customHeight="1">
      <c r="E47" s="102"/>
      <c r="F47" s="39"/>
    </row>
    <row r="48" spans="1:6" ht="15" customHeight="1">
      <c r="E48" s="102"/>
      <c r="F48" s="39"/>
    </row>
    <row r="49" spans="5:6" ht="15" customHeight="1">
      <c r="E49" s="102"/>
      <c r="F49" s="39"/>
    </row>
    <row r="50" spans="5:6" ht="15" customHeight="1">
      <c r="E50" s="102"/>
      <c r="F50" s="39"/>
    </row>
    <row r="51" spans="5:6" ht="15" customHeight="1">
      <c r="E51" s="102"/>
      <c r="F51" s="39"/>
    </row>
    <row r="52" spans="5:6" ht="15" customHeight="1">
      <c r="E52" s="102"/>
      <c r="F52" s="39"/>
    </row>
    <row r="53" spans="5:6" ht="15" customHeight="1">
      <c r="E53" s="102"/>
      <c r="F53" s="39"/>
    </row>
    <row r="54" spans="5:6" ht="15" customHeight="1">
      <c r="E54" s="102"/>
      <c r="F54" s="39"/>
    </row>
    <row r="55" spans="5:6" ht="15" customHeight="1">
      <c r="E55" s="102"/>
      <c r="F55" s="39"/>
    </row>
    <row r="56" spans="5:6" ht="15" customHeight="1">
      <c r="E56" s="102"/>
      <c r="F56" s="39"/>
    </row>
    <row r="57" spans="5:6" ht="15" customHeight="1">
      <c r="E57" s="102"/>
      <c r="F57" s="39"/>
    </row>
    <row r="58" spans="5:6" ht="15" customHeight="1">
      <c r="E58" s="102"/>
      <c r="F58" s="39"/>
    </row>
  </sheetData>
  <mergeCells count="8">
    <mergeCell ref="A7:A8"/>
    <mergeCell ref="B7:B8"/>
    <mergeCell ref="A6:F6"/>
    <mergeCell ref="A1:F1"/>
    <mergeCell ref="A3:B3"/>
    <mergeCell ref="A4:F4"/>
    <mergeCell ref="A2:B2"/>
    <mergeCell ref="A5:D5"/>
  </mergeCells>
  <phoneticPr fontId="0" type="noConversion"/>
  <pageMargins left="0.9" right="0.36" top="1" bottom="1" header="0.5" footer="0.5"/>
  <pageSetup paperSize="9" scale="81" orientation="portrait" verticalDpi="300" r:id="rId1"/>
  <headerFooter alignWithMargins="0">
    <oddFooter>&amp;LTariff Petition for determination of tariff for FY 2015-16, approval of estimate for 2014-15 and truing up for  FY 2012-13 to FY 2013-14 for RPH</oddFooter>
  </headerFooter>
</worksheet>
</file>

<file path=xl/worksheets/sheet24.xml><?xml version="1.0" encoding="utf-8"?>
<worksheet xmlns="http://schemas.openxmlformats.org/spreadsheetml/2006/main" xmlns:r="http://schemas.openxmlformats.org/officeDocument/2006/relationships">
  <sheetPr enableFormatConditionsCalculation="0">
    <tabColor indexed="50"/>
  </sheetPr>
  <dimension ref="A1:AD29"/>
  <sheetViews>
    <sheetView showGridLines="0" view="pageBreakPreview" topLeftCell="L22" zoomScale="80" zoomScaleSheetLayoutView="80" workbookViewId="0">
      <selection activeCell="J28" sqref="J28:K28"/>
    </sheetView>
  </sheetViews>
  <sheetFormatPr defaultRowHeight="15" customHeight="1"/>
  <cols>
    <col min="1" max="1" width="5.5703125" style="1" bestFit="1" customWidth="1"/>
    <col min="2" max="2" width="52.7109375" style="3" customWidth="1"/>
    <col min="3" max="3" width="19.140625" style="3" customWidth="1"/>
    <col min="4" max="5" width="9.42578125" style="3" customWidth="1"/>
    <col min="6" max="6" width="15" style="3" customWidth="1"/>
    <col min="7" max="7" width="13.5703125" style="3" customWidth="1"/>
    <col min="8" max="8" width="8.7109375" style="3" customWidth="1"/>
    <col min="9" max="10" width="9.42578125" style="3" customWidth="1"/>
    <col min="11" max="11" width="15" style="3" customWidth="1"/>
    <col min="12" max="12" width="13.5703125" style="3" customWidth="1"/>
    <col min="13" max="13" width="8.7109375" style="3" customWidth="1"/>
    <col min="14" max="14" width="9.42578125" style="3" bestFit="1" customWidth="1"/>
    <col min="15" max="15" width="9.42578125" style="3" customWidth="1"/>
    <col min="16" max="16" width="15" style="3" customWidth="1"/>
    <col min="17" max="17" width="13.5703125" style="3" bestFit="1" customWidth="1"/>
    <col min="18" max="18" width="8.7109375" style="3" customWidth="1"/>
    <col min="19" max="20" width="9.42578125" style="3" customWidth="1"/>
    <col min="21" max="21" width="15" style="1" customWidth="1"/>
    <col min="22" max="22" width="13.5703125" style="1" customWidth="1"/>
    <col min="23" max="23" width="13.42578125" style="1" customWidth="1"/>
    <col min="24" max="25" width="5" style="1" customWidth="1"/>
    <col min="26" max="26" width="7.140625" style="1" customWidth="1"/>
    <col min="27" max="30" width="5" style="1" customWidth="1"/>
    <col min="31" max="16384" width="9.140625" style="1"/>
  </cols>
  <sheetData>
    <row r="1" spans="1:30" s="4" customFormat="1" ht="15" customHeight="1">
      <c r="A1" s="398"/>
      <c r="B1" s="398"/>
      <c r="C1" s="398"/>
      <c r="D1" s="398"/>
      <c r="E1" s="398"/>
      <c r="F1" s="398"/>
      <c r="G1" s="398"/>
      <c r="H1" s="398"/>
      <c r="I1" s="398"/>
      <c r="J1" s="398"/>
      <c r="K1" s="398"/>
      <c r="L1" s="398"/>
      <c r="M1" s="398"/>
      <c r="N1" s="398"/>
      <c r="O1" s="398"/>
      <c r="P1" s="398"/>
      <c r="Q1" s="398"/>
      <c r="R1" s="398"/>
      <c r="S1" s="398"/>
      <c r="T1" s="398"/>
      <c r="U1" s="398"/>
    </row>
    <row r="2" spans="1:30" s="5" customFormat="1" ht="15" customHeight="1">
      <c r="A2" s="106" t="str">
        <f>Index!A2:C2</f>
        <v>Name of Company:</v>
      </c>
      <c r="B2" s="106"/>
      <c r="C2" s="106" t="str">
        <f>Index!D2</f>
        <v>INDRAPRASTHA POWER GENERATION COMPANY LIMITED</v>
      </c>
      <c r="D2" s="106"/>
      <c r="E2" s="106"/>
      <c r="F2" s="106"/>
      <c r="G2" s="106"/>
      <c r="H2" s="106"/>
      <c r="I2" s="106"/>
      <c r="J2" s="106"/>
      <c r="K2" s="106"/>
      <c r="L2" s="106"/>
      <c r="M2" s="106"/>
      <c r="N2" s="106"/>
      <c r="O2" s="106"/>
      <c r="P2" s="106"/>
      <c r="Q2" s="106"/>
      <c r="R2" s="106" t="str">
        <f>Index!D2</f>
        <v>INDRAPRASTHA POWER GENERATION COMPANY LIMITED</v>
      </c>
      <c r="S2" s="106"/>
      <c r="T2" s="106"/>
      <c r="U2" s="106"/>
      <c r="V2" s="106"/>
      <c r="W2" s="106"/>
    </row>
    <row r="3" spans="1:30" s="2" customFormat="1" ht="15" customHeight="1">
      <c r="A3" s="106" t="str">
        <f>Index!A3:C3</f>
        <v>Name of Plant/  Station:</v>
      </c>
      <c r="B3" s="106"/>
      <c r="C3" s="106" t="str">
        <f>Index!D3</f>
        <v>Rajghat Power House</v>
      </c>
      <c r="D3" s="106"/>
      <c r="E3" s="106"/>
      <c r="F3" s="106"/>
      <c r="G3" s="106"/>
      <c r="H3" s="106"/>
      <c r="I3" s="106"/>
      <c r="J3" s="106"/>
      <c r="K3" s="106"/>
      <c r="L3" s="106"/>
      <c r="M3" s="106"/>
      <c r="N3" s="106"/>
      <c r="O3" s="106"/>
      <c r="P3" s="106"/>
      <c r="Q3" s="106"/>
      <c r="R3" s="106"/>
      <c r="S3" s="106"/>
      <c r="T3" s="106" t="str">
        <f>Index!D3</f>
        <v>Rajghat Power House</v>
      </c>
      <c r="U3" s="106"/>
      <c r="V3" s="106"/>
      <c r="W3" s="106"/>
    </row>
    <row r="4" spans="1:30" ht="15" customHeight="1">
      <c r="A4" s="398"/>
      <c r="B4" s="398"/>
      <c r="C4" s="398"/>
      <c r="D4" s="398"/>
      <c r="E4" s="398"/>
      <c r="F4" s="398"/>
      <c r="G4" s="398"/>
      <c r="H4" s="398"/>
      <c r="I4" s="398"/>
      <c r="J4" s="398"/>
      <c r="K4" s="398"/>
      <c r="L4" s="398"/>
      <c r="M4" s="398"/>
      <c r="N4" s="398"/>
      <c r="O4" s="398"/>
      <c r="P4" s="398"/>
      <c r="Q4" s="398"/>
      <c r="R4" s="398"/>
      <c r="S4" s="398"/>
      <c r="T4" s="398"/>
      <c r="U4" s="398"/>
    </row>
    <row r="5" spans="1:30" ht="15" customHeight="1">
      <c r="A5" s="52" t="str">
        <f>Index!D30</f>
        <v>Fixed Assets and Depreciation</v>
      </c>
      <c r="B5" s="52"/>
      <c r="C5" s="52"/>
      <c r="D5" s="52"/>
      <c r="E5" s="52"/>
      <c r="F5" s="52"/>
      <c r="G5" s="52"/>
      <c r="H5" s="52"/>
      <c r="I5" s="52"/>
      <c r="J5" s="52"/>
      <c r="K5" s="52"/>
      <c r="L5" s="52" t="s">
        <v>156</v>
      </c>
      <c r="M5" s="52" t="str">
        <f>Index!C30</f>
        <v>F23</v>
      </c>
      <c r="N5" s="52"/>
      <c r="O5" s="52"/>
      <c r="P5" s="52"/>
      <c r="Q5" s="52"/>
      <c r="R5" s="52"/>
      <c r="S5" s="52"/>
      <c r="T5" s="52"/>
      <c r="U5" s="52"/>
      <c r="V5" s="52" t="s">
        <v>156</v>
      </c>
      <c r="W5" s="52" t="str">
        <f>Index!C30</f>
        <v>F23</v>
      </c>
    </row>
    <row r="6" spans="1:30" ht="15" customHeight="1">
      <c r="A6" s="110"/>
      <c r="B6" s="110"/>
      <c r="C6" s="110"/>
      <c r="D6" s="110"/>
      <c r="E6" s="110"/>
      <c r="F6" s="110"/>
      <c r="G6" s="110"/>
      <c r="H6" s="110"/>
      <c r="I6" s="110"/>
      <c r="J6" s="110"/>
      <c r="K6" s="110"/>
      <c r="L6" s="381" t="s">
        <v>769</v>
      </c>
      <c r="M6" s="110"/>
      <c r="N6" s="110"/>
      <c r="O6" s="110"/>
      <c r="P6" s="110"/>
      <c r="Q6" s="110"/>
      <c r="R6" s="110"/>
      <c r="S6" s="110"/>
      <c r="T6" s="110"/>
      <c r="U6" s="110"/>
      <c r="W6" s="381" t="s">
        <v>769</v>
      </c>
    </row>
    <row r="7" spans="1:30" ht="15" customHeight="1">
      <c r="A7" s="396" t="s">
        <v>688</v>
      </c>
      <c r="B7" s="397" t="s">
        <v>272</v>
      </c>
      <c r="C7" s="397" t="s">
        <v>277</v>
      </c>
      <c r="D7" s="479" t="s">
        <v>165</v>
      </c>
      <c r="E7" s="480"/>
      <c r="F7" s="480"/>
      <c r="G7" s="480"/>
      <c r="H7" s="481"/>
      <c r="I7" s="479" t="s">
        <v>166</v>
      </c>
      <c r="J7" s="480"/>
      <c r="K7" s="480"/>
      <c r="L7" s="480"/>
      <c r="M7" s="481"/>
      <c r="N7" s="476" t="s">
        <v>167</v>
      </c>
      <c r="O7" s="477"/>
      <c r="P7" s="477"/>
      <c r="Q7" s="477"/>
      <c r="R7" s="478"/>
      <c r="S7" s="482" t="s">
        <v>748</v>
      </c>
      <c r="T7" s="482"/>
      <c r="U7" s="482"/>
      <c r="V7" s="482"/>
      <c r="W7" s="482"/>
    </row>
    <row r="8" spans="1:30" ht="15" customHeight="1">
      <c r="A8" s="396"/>
      <c r="B8" s="397"/>
      <c r="C8" s="397"/>
      <c r="D8" s="476" t="s">
        <v>150</v>
      </c>
      <c r="E8" s="477"/>
      <c r="F8" s="477"/>
      <c r="G8" s="477"/>
      <c r="H8" s="478"/>
      <c r="I8" s="476" t="s">
        <v>150</v>
      </c>
      <c r="J8" s="477"/>
      <c r="K8" s="477"/>
      <c r="L8" s="477"/>
      <c r="M8" s="478"/>
      <c r="N8" s="476" t="s">
        <v>8</v>
      </c>
      <c r="O8" s="477"/>
      <c r="P8" s="477"/>
      <c r="Q8" s="477"/>
      <c r="R8" s="478"/>
      <c r="S8" s="483" t="s">
        <v>45</v>
      </c>
      <c r="T8" s="483"/>
      <c r="U8" s="483"/>
      <c r="V8" s="483"/>
      <c r="W8" s="483"/>
    </row>
    <row r="9" spans="1:30" ht="30" customHeight="1">
      <c r="A9" s="396"/>
      <c r="B9" s="397"/>
      <c r="C9" s="397"/>
      <c r="D9" s="31" t="s">
        <v>273</v>
      </c>
      <c r="E9" s="31" t="s">
        <v>274</v>
      </c>
      <c r="F9" s="67" t="s">
        <v>275</v>
      </c>
      <c r="G9" s="31" t="s">
        <v>75</v>
      </c>
      <c r="H9" s="31" t="s">
        <v>276</v>
      </c>
      <c r="I9" s="31" t="s">
        <v>273</v>
      </c>
      <c r="J9" s="31" t="s">
        <v>274</v>
      </c>
      <c r="K9" s="67" t="s">
        <v>275</v>
      </c>
      <c r="L9" s="31" t="s">
        <v>75</v>
      </c>
      <c r="M9" s="31" t="s">
        <v>276</v>
      </c>
      <c r="N9" s="31" t="s">
        <v>273</v>
      </c>
      <c r="O9" s="31" t="s">
        <v>274</v>
      </c>
      <c r="P9" s="67" t="s">
        <v>275</v>
      </c>
      <c r="Q9" s="31" t="s">
        <v>75</v>
      </c>
      <c r="R9" s="31" t="s">
        <v>276</v>
      </c>
      <c r="S9" s="336" t="s">
        <v>273</v>
      </c>
      <c r="T9" s="336" t="s">
        <v>274</v>
      </c>
      <c r="U9" s="337" t="s">
        <v>275</v>
      </c>
      <c r="V9" s="336" t="s">
        <v>75</v>
      </c>
      <c r="W9" s="336" t="s">
        <v>276</v>
      </c>
    </row>
    <row r="10" spans="1:30" ht="38.25" customHeight="1">
      <c r="A10" s="241" t="s">
        <v>689</v>
      </c>
      <c r="B10" s="242" t="s">
        <v>691</v>
      </c>
      <c r="C10" s="243">
        <v>5.28E-2</v>
      </c>
      <c r="D10" s="244">
        <f>1.2805+3.43+209.36</f>
        <v>214.07050000000001</v>
      </c>
      <c r="E10" s="245"/>
      <c r="F10" s="246">
        <v>0.3654</v>
      </c>
      <c r="G10" s="245">
        <v>11.300800000000001</v>
      </c>
      <c r="H10" s="246">
        <f>D10+E10+F10</f>
        <v>214.4359</v>
      </c>
      <c r="I10" s="246">
        <f>H10</f>
        <v>214.4359</v>
      </c>
      <c r="J10" s="245"/>
      <c r="K10" s="246"/>
      <c r="L10" s="245">
        <v>11.0822</v>
      </c>
      <c r="M10" s="246">
        <f>I10+J10+K10</f>
        <v>214.4359</v>
      </c>
      <c r="N10" s="246">
        <f>M10</f>
        <v>214.4359</v>
      </c>
      <c r="O10" s="245"/>
      <c r="P10" s="246"/>
      <c r="Q10" s="245">
        <v>11.32221552</v>
      </c>
      <c r="R10" s="246">
        <f>N10+O10+P10</f>
        <v>214.4359</v>
      </c>
      <c r="S10" s="338">
        <f>R10</f>
        <v>214.4359</v>
      </c>
      <c r="T10" s="339">
        <v>0</v>
      </c>
      <c r="U10" s="338"/>
      <c r="V10" s="340">
        <f>(S10+W10)/2*C10</f>
        <v>11.32221552</v>
      </c>
      <c r="W10" s="338">
        <f>S10+T10+U10</f>
        <v>214.4359</v>
      </c>
      <c r="X10" s="258"/>
      <c r="Y10" s="260"/>
      <c r="Z10" s="258"/>
      <c r="AA10" s="259"/>
      <c r="AB10" s="259"/>
      <c r="AC10" s="258"/>
      <c r="AD10" s="258"/>
    </row>
    <row r="11" spans="1:30" ht="38.25" customHeight="1">
      <c r="A11" s="241"/>
      <c r="B11" s="242" t="s">
        <v>692</v>
      </c>
      <c r="C11" s="247">
        <v>8.2100000000000006E-2</v>
      </c>
      <c r="D11" s="244"/>
      <c r="E11" s="245">
        <v>5.2746000000000004</v>
      </c>
      <c r="F11" s="246">
        <v>-1.397</v>
      </c>
      <c r="G11" s="245">
        <v>0.9869</v>
      </c>
      <c r="H11" s="246">
        <f t="shared" ref="H11:H27" si="0">D11+E11+F11</f>
        <v>3.8776000000000002</v>
      </c>
      <c r="I11" s="246">
        <f t="shared" ref="I11:I27" si="1">H11</f>
        <v>3.8776000000000002</v>
      </c>
      <c r="J11" s="245">
        <v>2.9218000000000002</v>
      </c>
      <c r="K11" s="246">
        <v>-1.2949999999999999</v>
      </c>
      <c r="L11" s="245">
        <v>1.0542</v>
      </c>
      <c r="M11" s="246">
        <f t="shared" ref="M11:M27" si="2">I11+J11+K11</f>
        <v>5.5044000000000004</v>
      </c>
      <c r="N11" s="246">
        <f t="shared" ref="N11:N27" si="3">M11</f>
        <v>5.5044000000000004</v>
      </c>
      <c r="O11" s="245"/>
      <c r="P11" s="246"/>
      <c r="Q11" s="245">
        <v>0.45191124000000005</v>
      </c>
      <c r="R11" s="246">
        <f t="shared" ref="R11:R27" si="4">N11+O11+P11</f>
        <v>5.5044000000000004</v>
      </c>
      <c r="S11" s="338">
        <f t="shared" ref="S11:S27" si="5">R11</f>
        <v>5.5044000000000004</v>
      </c>
      <c r="T11" s="339"/>
      <c r="U11" s="338"/>
      <c r="V11" s="340">
        <f t="shared" ref="V11:V27" si="6">(S11+W11)/2*C11</f>
        <v>0.45191124000000005</v>
      </c>
      <c r="W11" s="338">
        <f t="shared" ref="W11:W28" si="7">S11+T11+U11</f>
        <v>5.5044000000000004</v>
      </c>
      <c r="X11" s="258"/>
      <c r="Y11" s="260"/>
      <c r="Z11" s="258"/>
      <c r="AA11" s="259"/>
      <c r="AB11" s="259"/>
      <c r="AC11" s="258"/>
      <c r="AD11" s="258"/>
    </row>
    <row r="12" spans="1:30" ht="38.25" customHeight="1">
      <c r="A12" s="241" t="s">
        <v>693</v>
      </c>
      <c r="B12" s="242" t="s">
        <v>694</v>
      </c>
      <c r="C12" s="247">
        <v>3.3399999999999999E-2</v>
      </c>
      <c r="D12" s="244">
        <v>3.2953000000000001</v>
      </c>
      <c r="E12" s="245"/>
      <c r="F12" s="246"/>
      <c r="G12" s="245">
        <v>0.17399999999999999</v>
      </c>
      <c r="H12" s="246">
        <f t="shared" si="0"/>
        <v>3.2953000000000001</v>
      </c>
      <c r="I12" s="246">
        <f t="shared" si="1"/>
        <v>3.2953000000000001</v>
      </c>
      <c r="J12" s="245"/>
      <c r="K12" s="246"/>
      <c r="L12" s="245">
        <v>0.1739</v>
      </c>
      <c r="M12" s="246">
        <f t="shared" si="2"/>
        <v>3.2953000000000001</v>
      </c>
      <c r="N12" s="246">
        <f t="shared" si="3"/>
        <v>3.2953000000000001</v>
      </c>
      <c r="O12" s="245"/>
      <c r="P12" s="246"/>
      <c r="Q12" s="245">
        <v>0.11006302</v>
      </c>
      <c r="R12" s="246">
        <f t="shared" si="4"/>
        <v>3.2953000000000001</v>
      </c>
      <c r="S12" s="338">
        <f t="shared" si="5"/>
        <v>3.2953000000000001</v>
      </c>
      <c r="T12" s="339"/>
      <c r="U12" s="338"/>
      <c r="V12" s="340">
        <f t="shared" si="6"/>
        <v>0.11006302</v>
      </c>
      <c r="W12" s="338">
        <f t="shared" si="7"/>
        <v>3.2953000000000001</v>
      </c>
      <c r="X12" s="258"/>
      <c r="Y12" s="260"/>
      <c r="Z12" s="258"/>
      <c r="AA12" s="259"/>
      <c r="AB12" s="259"/>
      <c r="AC12" s="258"/>
      <c r="AD12" s="258"/>
    </row>
    <row r="13" spans="1:30" ht="38.25" customHeight="1">
      <c r="A13" s="241" t="s">
        <v>696</v>
      </c>
      <c r="B13" s="242" t="s">
        <v>697</v>
      </c>
      <c r="C13" s="243">
        <v>5.28E-2</v>
      </c>
      <c r="D13" s="244">
        <v>0.1615</v>
      </c>
      <c r="E13" s="245"/>
      <c r="F13" s="246"/>
      <c r="G13" s="245">
        <v>8.5000000000000006E-3</v>
      </c>
      <c r="H13" s="246">
        <f t="shared" si="0"/>
        <v>0.1615</v>
      </c>
      <c r="I13" s="246">
        <f t="shared" si="1"/>
        <v>0.1615</v>
      </c>
      <c r="J13" s="245"/>
      <c r="K13" s="246"/>
      <c r="L13" s="245">
        <v>8.5000000000000006E-3</v>
      </c>
      <c r="M13" s="246">
        <f t="shared" si="2"/>
        <v>0.1615</v>
      </c>
      <c r="N13" s="246">
        <f t="shared" si="3"/>
        <v>0.1615</v>
      </c>
      <c r="O13" s="245"/>
      <c r="P13" s="246"/>
      <c r="Q13" s="245">
        <v>8.5272000000000004E-3</v>
      </c>
      <c r="R13" s="246">
        <f t="shared" si="4"/>
        <v>0.1615</v>
      </c>
      <c r="S13" s="338">
        <f t="shared" si="5"/>
        <v>0.1615</v>
      </c>
      <c r="T13" s="339"/>
      <c r="U13" s="338"/>
      <c r="V13" s="340">
        <f t="shared" si="6"/>
        <v>8.5272000000000004E-3</v>
      </c>
      <c r="W13" s="338">
        <f t="shared" si="7"/>
        <v>0.1615</v>
      </c>
      <c r="X13" s="258"/>
      <c r="Y13" s="260"/>
      <c r="Z13" s="258"/>
      <c r="AA13" s="259"/>
      <c r="AB13" s="259"/>
      <c r="AC13" s="258"/>
      <c r="AD13" s="258"/>
    </row>
    <row r="14" spans="1:30" ht="38.25" customHeight="1">
      <c r="A14" s="241" t="s">
        <v>690</v>
      </c>
      <c r="B14" s="242" t="s">
        <v>698</v>
      </c>
      <c r="C14" s="243">
        <v>5.28E-2</v>
      </c>
      <c r="D14" s="244">
        <v>8.1199999999999992</v>
      </c>
      <c r="E14" s="245"/>
      <c r="F14" s="246">
        <v>3.15E-2</v>
      </c>
      <c r="G14" s="245">
        <v>0.42749999999999999</v>
      </c>
      <c r="H14" s="246">
        <f t="shared" si="0"/>
        <v>8.1514999999999986</v>
      </c>
      <c r="I14" s="246">
        <f t="shared" si="1"/>
        <v>8.1514999999999986</v>
      </c>
      <c r="J14" s="245">
        <v>0.02</v>
      </c>
      <c r="K14" s="246"/>
      <c r="L14" s="245">
        <v>0.43149999999999999</v>
      </c>
      <c r="M14" s="246">
        <f t="shared" si="2"/>
        <v>8.1714999999999982</v>
      </c>
      <c r="N14" s="246">
        <f t="shared" si="3"/>
        <v>8.1714999999999982</v>
      </c>
      <c r="O14" s="245"/>
      <c r="P14" s="246"/>
      <c r="Q14" s="245">
        <v>0.43155023999999997</v>
      </c>
      <c r="R14" s="246">
        <f t="shared" si="4"/>
        <v>8.1714999999999982</v>
      </c>
      <c r="S14" s="338">
        <f t="shared" si="5"/>
        <v>8.1714999999999982</v>
      </c>
      <c r="T14" s="339"/>
      <c r="U14" s="338"/>
      <c r="V14" s="340">
        <f t="shared" si="6"/>
        <v>0.43145519999999993</v>
      </c>
      <c r="W14" s="338">
        <f t="shared" si="7"/>
        <v>8.1714999999999982</v>
      </c>
      <c r="X14" s="258"/>
      <c r="Y14" s="260"/>
      <c r="Z14" s="258"/>
      <c r="AA14" s="259"/>
      <c r="AB14" s="259"/>
      <c r="AC14" s="258"/>
      <c r="AD14" s="258"/>
    </row>
    <row r="15" spans="1:30" ht="38.25" customHeight="1">
      <c r="A15" s="241" t="s">
        <v>699</v>
      </c>
      <c r="B15" s="242" t="s">
        <v>700</v>
      </c>
      <c r="C15" s="243">
        <v>3.3399999999999999E-2</v>
      </c>
      <c r="D15" s="244">
        <v>4.6900000000000004</v>
      </c>
      <c r="E15" s="245"/>
      <c r="F15" s="246"/>
      <c r="G15" s="245">
        <v>0.15679999999999999</v>
      </c>
      <c r="H15" s="246">
        <f t="shared" si="0"/>
        <v>4.6900000000000004</v>
      </c>
      <c r="I15" s="246">
        <f t="shared" si="1"/>
        <v>4.6900000000000004</v>
      </c>
      <c r="J15" s="245"/>
      <c r="K15" s="246"/>
      <c r="L15" s="245">
        <v>0.15679999999999999</v>
      </c>
      <c r="M15" s="246">
        <f t="shared" si="2"/>
        <v>4.6900000000000004</v>
      </c>
      <c r="N15" s="246">
        <f t="shared" si="3"/>
        <v>4.6900000000000004</v>
      </c>
      <c r="O15" s="245"/>
      <c r="P15" s="246"/>
      <c r="Q15" s="245">
        <v>0.15664600000000001</v>
      </c>
      <c r="R15" s="246">
        <f t="shared" si="4"/>
        <v>4.6900000000000004</v>
      </c>
      <c r="S15" s="338">
        <f t="shared" si="5"/>
        <v>4.6900000000000004</v>
      </c>
      <c r="T15" s="339"/>
      <c r="U15" s="338"/>
      <c r="V15" s="340">
        <f t="shared" si="6"/>
        <v>0.15664600000000001</v>
      </c>
      <c r="W15" s="338">
        <f t="shared" si="7"/>
        <v>4.6900000000000004</v>
      </c>
      <c r="X15" s="258"/>
      <c r="Y15" s="260"/>
      <c r="Z15" s="258"/>
      <c r="AA15" s="259"/>
      <c r="AB15" s="259"/>
      <c r="AC15" s="258"/>
      <c r="AD15" s="258"/>
    </row>
    <row r="16" spans="1:30" ht="38.25" customHeight="1">
      <c r="A16" s="241" t="s">
        <v>693</v>
      </c>
      <c r="B16" s="242" t="s">
        <v>701</v>
      </c>
      <c r="C16" s="243">
        <v>3.3399999999999999E-2</v>
      </c>
      <c r="D16" s="244">
        <v>0</v>
      </c>
      <c r="E16" s="245"/>
      <c r="F16" s="246"/>
      <c r="G16" s="245"/>
      <c r="H16" s="246">
        <f t="shared" si="0"/>
        <v>0</v>
      </c>
      <c r="I16" s="246">
        <f t="shared" si="1"/>
        <v>0</v>
      </c>
      <c r="J16" s="245"/>
      <c r="K16" s="246"/>
      <c r="L16" s="245"/>
      <c r="M16" s="246">
        <f t="shared" si="2"/>
        <v>0</v>
      </c>
      <c r="N16" s="246">
        <f t="shared" si="3"/>
        <v>0</v>
      </c>
      <c r="O16" s="245"/>
      <c r="P16" s="246"/>
      <c r="Q16" s="245">
        <v>0</v>
      </c>
      <c r="R16" s="246">
        <f t="shared" si="4"/>
        <v>0</v>
      </c>
      <c r="S16" s="338">
        <f t="shared" si="5"/>
        <v>0</v>
      </c>
      <c r="T16" s="339"/>
      <c r="U16" s="338"/>
      <c r="V16" s="340">
        <f t="shared" si="6"/>
        <v>0</v>
      </c>
      <c r="W16" s="338">
        <f t="shared" si="7"/>
        <v>0</v>
      </c>
      <c r="X16" s="258"/>
      <c r="Y16" s="260"/>
      <c r="Z16" s="258"/>
      <c r="AA16" s="259"/>
      <c r="AB16" s="259"/>
      <c r="AC16" s="258"/>
      <c r="AD16" s="258"/>
    </row>
    <row r="17" spans="1:30" ht="38.25" customHeight="1">
      <c r="A17" s="241" t="s">
        <v>695</v>
      </c>
      <c r="B17" s="242" t="s">
        <v>702</v>
      </c>
      <c r="C17" s="243">
        <v>3.3399999999999999E-2</v>
      </c>
      <c r="D17" s="244">
        <v>0</v>
      </c>
      <c r="E17" s="245"/>
      <c r="F17" s="246"/>
      <c r="G17" s="245"/>
      <c r="H17" s="246">
        <f t="shared" si="0"/>
        <v>0</v>
      </c>
      <c r="I17" s="246">
        <f t="shared" si="1"/>
        <v>0</v>
      </c>
      <c r="J17" s="245"/>
      <c r="K17" s="246"/>
      <c r="L17" s="245"/>
      <c r="M17" s="246">
        <f t="shared" si="2"/>
        <v>0</v>
      </c>
      <c r="N17" s="246">
        <f t="shared" si="3"/>
        <v>0</v>
      </c>
      <c r="O17" s="245"/>
      <c r="P17" s="246"/>
      <c r="Q17" s="245">
        <v>0</v>
      </c>
      <c r="R17" s="246">
        <f t="shared" si="4"/>
        <v>0</v>
      </c>
      <c r="S17" s="338">
        <f t="shared" si="5"/>
        <v>0</v>
      </c>
      <c r="T17" s="339"/>
      <c r="U17" s="338"/>
      <c r="V17" s="340">
        <f t="shared" si="6"/>
        <v>0</v>
      </c>
      <c r="W17" s="338">
        <f t="shared" si="7"/>
        <v>0</v>
      </c>
      <c r="X17" s="258"/>
      <c r="Y17" s="260"/>
      <c r="Z17" s="258"/>
      <c r="AA17" s="259"/>
      <c r="AB17" s="259"/>
      <c r="AC17" s="258"/>
      <c r="AD17" s="258"/>
    </row>
    <row r="18" spans="1:30" ht="38.25" customHeight="1">
      <c r="A18" s="241" t="s">
        <v>703</v>
      </c>
      <c r="B18" s="242" t="s">
        <v>618</v>
      </c>
      <c r="C18" s="243">
        <v>1.7999999999999999E-2</v>
      </c>
      <c r="D18" s="244">
        <v>0</v>
      </c>
      <c r="E18" s="245"/>
      <c r="F18" s="246"/>
      <c r="G18" s="245"/>
      <c r="H18" s="246">
        <f t="shared" si="0"/>
        <v>0</v>
      </c>
      <c r="I18" s="246">
        <f t="shared" si="1"/>
        <v>0</v>
      </c>
      <c r="J18" s="245"/>
      <c r="K18" s="246"/>
      <c r="L18" s="245"/>
      <c r="M18" s="246">
        <f t="shared" si="2"/>
        <v>0</v>
      </c>
      <c r="N18" s="246">
        <f t="shared" si="3"/>
        <v>0</v>
      </c>
      <c r="O18" s="245"/>
      <c r="P18" s="246"/>
      <c r="Q18" s="245">
        <v>0</v>
      </c>
      <c r="R18" s="246">
        <f t="shared" si="4"/>
        <v>0</v>
      </c>
      <c r="S18" s="338">
        <f t="shared" si="5"/>
        <v>0</v>
      </c>
      <c r="T18" s="339"/>
      <c r="U18" s="338"/>
      <c r="V18" s="340">
        <f t="shared" si="6"/>
        <v>0</v>
      </c>
      <c r="W18" s="338">
        <f t="shared" si="7"/>
        <v>0</v>
      </c>
      <c r="X18" s="258"/>
      <c r="Y18" s="260"/>
      <c r="Z18" s="258"/>
      <c r="AA18" s="259"/>
      <c r="AB18" s="259"/>
      <c r="AC18" s="258"/>
      <c r="AD18" s="258"/>
    </row>
    <row r="19" spans="1:30" ht="38.25" customHeight="1">
      <c r="A19" s="241" t="s">
        <v>704</v>
      </c>
      <c r="B19" s="242" t="s">
        <v>705</v>
      </c>
      <c r="C19" s="243">
        <v>3.5999999999999997E-2</v>
      </c>
      <c r="D19" s="244">
        <v>0</v>
      </c>
      <c r="E19" s="245"/>
      <c r="F19" s="246"/>
      <c r="G19" s="245"/>
      <c r="H19" s="246">
        <f t="shared" si="0"/>
        <v>0</v>
      </c>
      <c r="I19" s="246">
        <f t="shared" si="1"/>
        <v>0</v>
      </c>
      <c r="J19" s="245"/>
      <c r="K19" s="246"/>
      <c r="L19" s="245"/>
      <c r="M19" s="246">
        <f t="shared" si="2"/>
        <v>0</v>
      </c>
      <c r="N19" s="246">
        <f t="shared" si="3"/>
        <v>0</v>
      </c>
      <c r="O19" s="245"/>
      <c r="P19" s="246"/>
      <c r="Q19" s="245">
        <v>0</v>
      </c>
      <c r="R19" s="246">
        <f t="shared" si="4"/>
        <v>0</v>
      </c>
      <c r="S19" s="338">
        <f t="shared" si="5"/>
        <v>0</v>
      </c>
      <c r="T19" s="339"/>
      <c r="U19" s="338"/>
      <c r="V19" s="340">
        <f t="shared" si="6"/>
        <v>0</v>
      </c>
      <c r="W19" s="338">
        <f t="shared" si="7"/>
        <v>0</v>
      </c>
      <c r="X19" s="258"/>
      <c r="Y19" s="260"/>
      <c r="Z19" s="258"/>
      <c r="AA19" s="259"/>
      <c r="AB19" s="259"/>
      <c r="AC19" s="258"/>
      <c r="AD19" s="258"/>
    </row>
    <row r="20" spans="1:30" ht="38.25" customHeight="1">
      <c r="A20" s="241" t="s">
        <v>693</v>
      </c>
      <c r="B20" s="242" t="s">
        <v>706</v>
      </c>
      <c r="C20" s="243">
        <v>5.28E-2</v>
      </c>
      <c r="D20" s="244">
        <v>0.09</v>
      </c>
      <c r="E20" s="244"/>
      <c r="F20" s="246">
        <v>-8.8099999999999998E-2</v>
      </c>
      <c r="G20" s="245">
        <v>1.6000000000000001E-3</v>
      </c>
      <c r="H20" s="246">
        <f t="shared" si="0"/>
        <v>1.8999999999999989E-3</v>
      </c>
      <c r="I20" s="246">
        <f t="shared" si="1"/>
        <v>1.8999999999999989E-3</v>
      </c>
      <c r="J20" s="244"/>
      <c r="K20" s="246"/>
      <c r="L20" s="245"/>
      <c r="M20" s="246">
        <f t="shared" si="2"/>
        <v>1.8999999999999989E-3</v>
      </c>
      <c r="N20" s="246">
        <f t="shared" si="3"/>
        <v>1.8999999999999989E-3</v>
      </c>
      <c r="O20" s="245"/>
      <c r="P20" s="246"/>
      <c r="Q20" s="245">
        <v>1.0031999999999995E-4</v>
      </c>
      <c r="R20" s="246">
        <f t="shared" si="4"/>
        <v>1.8999999999999989E-3</v>
      </c>
      <c r="S20" s="338">
        <f t="shared" si="5"/>
        <v>1.8999999999999989E-3</v>
      </c>
      <c r="T20" s="339"/>
      <c r="U20" s="338"/>
      <c r="V20" s="340">
        <f t="shared" si="6"/>
        <v>1.0031999999999995E-4</v>
      </c>
      <c r="W20" s="338">
        <f t="shared" si="7"/>
        <v>1.8999999999999989E-3</v>
      </c>
      <c r="X20" s="258"/>
      <c r="Y20" s="260"/>
      <c r="Z20" s="258"/>
      <c r="AA20" s="259"/>
      <c r="AB20" s="259"/>
      <c r="AC20" s="258"/>
      <c r="AD20" s="258"/>
    </row>
    <row r="21" spans="1:30" ht="38.25" customHeight="1">
      <c r="A21" s="241" t="s">
        <v>707</v>
      </c>
      <c r="B21" s="242" t="s">
        <v>708</v>
      </c>
      <c r="C21" s="243">
        <v>5.28E-2</v>
      </c>
      <c r="D21" s="244">
        <v>0.31</v>
      </c>
      <c r="E21" s="245"/>
      <c r="F21" s="246">
        <v>-0.30880000000000002</v>
      </c>
      <c r="G21" s="245"/>
      <c r="H21" s="246">
        <f t="shared" si="0"/>
        <v>1.1999999999999789E-3</v>
      </c>
      <c r="I21" s="246">
        <f t="shared" si="1"/>
        <v>1.1999999999999789E-3</v>
      </c>
      <c r="J21" s="245"/>
      <c r="K21" s="246"/>
      <c r="L21" s="245"/>
      <c r="M21" s="246">
        <f t="shared" si="2"/>
        <v>1.1999999999999789E-3</v>
      </c>
      <c r="N21" s="246">
        <f t="shared" si="3"/>
        <v>1.1999999999999789E-3</v>
      </c>
      <c r="O21" s="245"/>
      <c r="P21" s="246"/>
      <c r="Q21" s="245">
        <v>6.3359999999998878E-5</v>
      </c>
      <c r="R21" s="246">
        <f t="shared" si="4"/>
        <v>1.1999999999999789E-3</v>
      </c>
      <c r="S21" s="338">
        <f t="shared" si="5"/>
        <v>1.1999999999999789E-3</v>
      </c>
      <c r="T21" s="339"/>
      <c r="U21" s="338"/>
      <c r="V21" s="340">
        <f t="shared" si="6"/>
        <v>6.3359999999998878E-5</v>
      </c>
      <c r="W21" s="338">
        <f t="shared" si="7"/>
        <v>1.1999999999999789E-3</v>
      </c>
      <c r="X21" s="258"/>
      <c r="Y21" s="260"/>
      <c r="Z21" s="258"/>
      <c r="AA21" s="259"/>
      <c r="AB21" s="259"/>
      <c r="AC21" s="258"/>
      <c r="AD21" s="258"/>
    </row>
    <row r="22" spans="1:30" ht="38.25" customHeight="1">
      <c r="A22" s="248" t="s">
        <v>693</v>
      </c>
      <c r="B22" s="242" t="s">
        <v>709</v>
      </c>
      <c r="C22" s="243">
        <v>0.06</v>
      </c>
      <c r="D22" s="244">
        <v>1.64</v>
      </c>
      <c r="E22" s="245"/>
      <c r="F22" s="246"/>
      <c r="G22" s="245">
        <v>4.47E-3</v>
      </c>
      <c r="H22" s="246">
        <f t="shared" si="0"/>
        <v>1.64</v>
      </c>
      <c r="I22" s="246">
        <f t="shared" si="1"/>
        <v>1.64</v>
      </c>
      <c r="J22" s="245"/>
      <c r="K22" s="246"/>
      <c r="L22" s="245">
        <v>4.7000000000000002E-3</v>
      </c>
      <c r="M22" s="246">
        <f t="shared" si="2"/>
        <v>1.64</v>
      </c>
      <c r="N22" s="246">
        <f t="shared" si="3"/>
        <v>1.64</v>
      </c>
      <c r="O22" s="245"/>
      <c r="P22" s="246"/>
      <c r="Q22" s="245">
        <v>9.8399999999999987E-2</v>
      </c>
      <c r="R22" s="246">
        <f t="shared" si="4"/>
        <v>1.64</v>
      </c>
      <c r="S22" s="338">
        <f t="shared" si="5"/>
        <v>1.64</v>
      </c>
      <c r="T22" s="339"/>
      <c r="U22" s="338"/>
      <c r="V22" s="340">
        <f t="shared" si="6"/>
        <v>9.8399999999999987E-2</v>
      </c>
      <c r="W22" s="338">
        <f t="shared" si="7"/>
        <v>1.64</v>
      </c>
      <c r="X22" s="258"/>
      <c r="Y22" s="260"/>
      <c r="Z22" s="258"/>
      <c r="AA22" s="259"/>
      <c r="AB22" s="259"/>
      <c r="AC22" s="258"/>
      <c r="AD22" s="258"/>
    </row>
    <row r="23" spans="1:30" ht="38.25" customHeight="1">
      <c r="A23" s="248" t="s">
        <v>710</v>
      </c>
      <c r="B23" s="242" t="s">
        <v>711</v>
      </c>
      <c r="C23" s="243">
        <v>6.3299999999999995E-2</v>
      </c>
      <c r="D23" s="244">
        <v>0.498</v>
      </c>
      <c r="E23" s="245"/>
      <c r="F23" s="246"/>
      <c r="G23" s="245">
        <v>7.0000000000000001E-3</v>
      </c>
      <c r="H23" s="246">
        <f t="shared" si="0"/>
        <v>0.498</v>
      </c>
      <c r="I23" s="246">
        <f t="shared" si="1"/>
        <v>0.498</v>
      </c>
      <c r="J23" s="245">
        <v>4.3099999999999999E-2</v>
      </c>
      <c r="K23" s="246"/>
      <c r="L23" s="245">
        <v>1.15E-2</v>
      </c>
      <c r="M23" s="246">
        <f t="shared" si="2"/>
        <v>0.54110000000000003</v>
      </c>
      <c r="N23" s="246">
        <f t="shared" si="3"/>
        <v>0.54110000000000003</v>
      </c>
      <c r="O23" s="245"/>
      <c r="P23" s="246"/>
      <c r="Q23" s="245">
        <v>3.4251629999999998E-2</v>
      </c>
      <c r="R23" s="246">
        <f t="shared" si="4"/>
        <v>0.54110000000000003</v>
      </c>
      <c r="S23" s="338">
        <f t="shared" si="5"/>
        <v>0.54110000000000003</v>
      </c>
      <c r="T23" s="339"/>
      <c r="U23" s="338"/>
      <c r="V23" s="340">
        <f t="shared" si="6"/>
        <v>3.4251629999999998E-2</v>
      </c>
      <c r="W23" s="338">
        <f t="shared" si="7"/>
        <v>0.54110000000000003</v>
      </c>
      <c r="X23" s="258"/>
      <c r="Y23" s="260"/>
      <c r="Z23" s="258"/>
      <c r="AA23" s="259"/>
      <c r="AB23" s="259"/>
      <c r="AC23" s="258"/>
      <c r="AD23" s="258"/>
    </row>
    <row r="24" spans="1:30" ht="38.25" customHeight="1">
      <c r="A24" s="252"/>
      <c r="B24" s="253" t="s">
        <v>712</v>
      </c>
      <c r="C24" s="254">
        <v>4.9945126622906011E-2</v>
      </c>
      <c r="D24" s="249">
        <v>4.7880000000000003</v>
      </c>
      <c r="E24" s="250">
        <v>0.53139999999999998</v>
      </c>
      <c r="F24" s="251">
        <v>-0.63539999999999996</v>
      </c>
      <c r="G24" s="245">
        <v>0.35260000000000002</v>
      </c>
      <c r="H24" s="246">
        <f t="shared" si="0"/>
        <v>4.6840000000000002</v>
      </c>
      <c r="I24" s="246">
        <f t="shared" si="1"/>
        <v>4.6840000000000002</v>
      </c>
      <c r="J24" s="250">
        <v>0.4083</v>
      </c>
      <c r="K24" s="251">
        <v>-0.1177</v>
      </c>
      <c r="L24" s="245">
        <v>0.2152</v>
      </c>
      <c r="M24" s="246">
        <f t="shared" si="2"/>
        <v>4.9745999999999997</v>
      </c>
      <c r="N24" s="246">
        <f t="shared" si="3"/>
        <v>4.9745999999999997</v>
      </c>
      <c r="O24" s="250">
        <f>0.386*33.33%</f>
        <v>0.12865379999999998</v>
      </c>
      <c r="P24" s="251"/>
      <c r="Q24" s="245">
        <v>0.22</v>
      </c>
      <c r="R24" s="246">
        <f t="shared" si="4"/>
        <v>5.1032538000000001</v>
      </c>
      <c r="S24" s="338">
        <f t="shared" si="5"/>
        <v>5.1032538000000001</v>
      </c>
      <c r="T24" s="339">
        <v>0</v>
      </c>
      <c r="U24" s="338"/>
      <c r="V24" s="340">
        <f t="shared" si="6"/>
        <v>0.25488265722982628</v>
      </c>
      <c r="W24" s="338">
        <f t="shared" si="7"/>
        <v>5.1032538000000001</v>
      </c>
      <c r="X24" s="258"/>
      <c r="Y24" s="260"/>
      <c r="Z24" s="258"/>
      <c r="AA24" s="259"/>
      <c r="AB24" s="259"/>
      <c r="AC24" s="258"/>
      <c r="AD24" s="258"/>
    </row>
    <row r="25" spans="1:30" ht="38.25" customHeight="1">
      <c r="A25" s="252"/>
      <c r="B25" s="269" t="s">
        <v>714</v>
      </c>
      <c r="C25" s="270">
        <v>0.33329999999999999</v>
      </c>
      <c r="D25" s="249"/>
      <c r="E25" s="250"/>
      <c r="F25" s="251"/>
      <c r="G25" s="245"/>
      <c r="H25" s="246">
        <f t="shared" si="0"/>
        <v>0</v>
      </c>
      <c r="I25" s="246">
        <f t="shared" si="1"/>
        <v>0</v>
      </c>
      <c r="J25" s="250"/>
      <c r="K25" s="251"/>
      <c r="L25" s="245"/>
      <c r="M25" s="246">
        <f t="shared" si="2"/>
        <v>0</v>
      </c>
      <c r="N25" s="246">
        <f t="shared" si="3"/>
        <v>0</v>
      </c>
      <c r="O25" s="250"/>
      <c r="P25" s="251"/>
      <c r="Q25" s="245">
        <v>0</v>
      </c>
      <c r="R25" s="246">
        <f t="shared" si="4"/>
        <v>0</v>
      </c>
      <c r="S25" s="338">
        <f t="shared" si="5"/>
        <v>0</v>
      </c>
      <c r="T25" s="339"/>
      <c r="U25" s="338"/>
      <c r="V25" s="340">
        <f t="shared" si="6"/>
        <v>0</v>
      </c>
      <c r="W25" s="338">
        <f t="shared" si="7"/>
        <v>0</v>
      </c>
      <c r="X25" s="258"/>
      <c r="Y25" s="260"/>
      <c r="Z25" s="258"/>
      <c r="AA25" s="259"/>
      <c r="AB25" s="259"/>
      <c r="AC25" s="258"/>
      <c r="AD25" s="258"/>
    </row>
    <row r="26" spans="1:30" ht="38.25" customHeight="1">
      <c r="A26" s="252"/>
      <c r="B26" s="269" t="s">
        <v>715</v>
      </c>
      <c r="C26" s="270">
        <v>0.15</v>
      </c>
      <c r="D26" s="249">
        <v>0.36820000000000003</v>
      </c>
      <c r="E26" s="250">
        <v>7.1000000000000004E-3</v>
      </c>
      <c r="F26" s="251">
        <f>-0.0183-0.1046</f>
        <v>-0.1229</v>
      </c>
      <c r="G26" s="245">
        <v>3.5900000000000001E-2</v>
      </c>
      <c r="H26" s="246">
        <f t="shared" si="0"/>
        <v>0.25240000000000001</v>
      </c>
      <c r="I26" s="246">
        <f t="shared" si="1"/>
        <v>0.25240000000000001</v>
      </c>
      <c r="J26" s="250">
        <v>3.0999999999999999E-3</v>
      </c>
      <c r="K26" s="251">
        <v>-6.9999999999999999E-4</v>
      </c>
      <c r="L26" s="245">
        <v>2.1399999999999999E-2</v>
      </c>
      <c r="M26" s="246">
        <f t="shared" si="2"/>
        <v>0.25480000000000003</v>
      </c>
      <c r="N26" s="246">
        <f t="shared" si="3"/>
        <v>0.25480000000000003</v>
      </c>
      <c r="O26" s="250"/>
      <c r="P26" s="251"/>
      <c r="Q26" s="245">
        <v>3.8220000000000004E-2</v>
      </c>
      <c r="R26" s="246">
        <f t="shared" si="4"/>
        <v>0.25480000000000003</v>
      </c>
      <c r="S26" s="338">
        <f t="shared" si="5"/>
        <v>0.25480000000000003</v>
      </c>
      <c r="T26" s="339"/>
      <c r="U26" s="338"/>
      <c r="V26" s="340">
        <f t="shared" si="6"/>
        <v>3.8220000000000004E-2</v>
      </c>
      <c r="W26" s="338">
        <f t="shared" si="7"/>
        <v>0.25480000000000003</v>
      </c>
      <c r="X26" s="258"/>
      <c r="Y26" s="260"/>
      <c r="Z26" s="258"/>
      <c r="AA26" s="259"/>
      <c r="AB26" s="259"/>
      <c r="AC26" s="258"/>
      <c r="AD26" s="258"/>
    </row>
    <row r="27" spans="1:30" ht="38.25" customHeight="1">
      <c r="A27" s="252"/>
      <c r="B27" s="269" t="s">
        <v>618</v>
      </c>
      <c r="C27" s="270">
        <v>2.1530980549428515E-2</v>
      </c>
      <c r="D27" s="249">
        <v>3.3479999999999999</v>
      </c>
      <c r="E27" s="250">
        <f>0.0082+0.0209+0.0131+0.21+0.0548</f>
        <v>0.307</v>
      </c>
      <c r="F27" s="251">
        <f>-0.0065+0.23</f>
        <v>0.2235</v>
      </c>
      <c r="G27" s="245">
        <v>3.32E-2</v>
      </c>
      <c r="H27" s="246">
        <f t="shared" si="0"/>
        <v>3.8784999999999998</v>
      </c>
      <c r="I27" s="251">
        <f t="shared" si="1"/>
        <v>3.8784999999999998</v>
      </c>
      <c r="J27" s="250">
        <v>0.23</v>
      </c>
      <c r="K27" s="251"/>
      <c r="L27" s="250">
        <v>8.5900000000000004E-2</v>
      </c>
      <c r="M27" s="251">
        <f t="shared" si="2"/>
        <v>4.1085000000000003</v>
      </c>
      <c r="N27" s="251">
        <f t="shared" si="3"/>
        <v>4.1085000000000003</v>
      </c>
      <c r="O27" s="250">
        <v>0.01</v>
      </c>
      <c r="P27" s="251"/>
      <c r="Q27" s="250">
        <v>8.82920919390415E-2</v>
      </c>
      <c r="R27" s="246">
        <f t="shared" si="4"/>
        <v>4.1185</v>
      </c>
      <c r="S27" s="338">
        <f t="shared" si="5"/>
        <v>4.1185</v>
      </c>
      <c r="T27" s="339"/>
      <c r="U27" s="338"/>
      <c r="V27" s="340">
        <f t="shared" si="6"/>
        <v>8.8675343392821335E-2</v>
      </c>
      <c r="W27" s="338">
        <f t="shared" si="7"/>
        <v>4.1185</v>
      </c>
      <c r="X27" s="258"/>
      <c r="Y27" s="260"/>
      <c r="Z27" s="258"/>
      <c r="AA27" s="259"/>
      <c r="AB27" s="259"/>
      <c r="AC27" s="258"/>
      <c r="AD27" s="258"/>
    </row>
    <row r="28" spans="1:30" ht="38.25" customHeight="1" thickBot="1">
      <c r="A28" s="255"/>
      <c r="B28" s="256" t="s">
        <v>17</v>
      </c>
      <c r="C28" s="256"/>
      <c r="D28" s="257">
        <f t="shared" ref="D28:N28" si="8">SUM(D10:D27)</f>
        <v>241.37950000000001</v>
      </c>
      <c r="E28" s="257">
        <f t="shared" si="8"/>
        <v>6.1201000000000008</v>
      </c>
      <c r="F28" s="257">
        <f t="shared" si="8"/>
        <v>-1.9318</v>
      </c>
      <c r="G28" s="333">
        <f t="shared" si="8"/>
        <v>13.489270000000001</v>
      </c>
      <c r="H28" s="257">
        <f t="shared" si="8"/>
        <v>245.56779999999998</v>
      </c>
      <c r="I28" s="257">
        <f t="shared" si="8"/>
        <v>245.56779999999998</v>
      </c>
      <c r="J28" s="257">
        <f t="shared" si="8"/>
        <v>3.6263000000000001</v>
      </c>
      <c r="K28" s="257">
        <f t="shared" si="8"/>
        <v>-1.4133999999999998</v>
      </c>
      <c r="L28" s="332">
        <f t="shared" si="8"/>
        <v>13.245799999999999</v>
      </c>
      <c r="M28" s="257">
        <f t="shared" si="8"/>
        <v>247.7807</v>
      </c>
      <c r="N28" s="257">
        <f t="shared" si="8"/>
        <v>247.7807</v>
      </c>
      <c r="O28" s="257">
        <f t="shared" ref="O28:V28" si="9">SUM(O10:O26)</f>
        <v>0.12865379999999998</v>
      </c>
      <c r="P28" s="257">
        <f t="shared" si="9"/>
        <v>0</v>
      </c>
      <c r="Q28" s="257">
        <f>SUM(Q10:Q27)</f>
        <v>12.960240621939043</v>
      </c>
      <c r="R28" s="257">
        <f t="shared" si="9"/>
        <v>243.8008538</v>
      </c>
      <c r="S28" s="335">
        <f t="shared" si="9"/>
        <v>243.8008538</v>
      </c>
      <c r="T28" s="335">
        <f t="shared" si="9"/>
        <v>0</v>
      </c>
      <c r="U28" s="335">
        <f t="shared" si="9"/>
        <v>0</v>
      </c>
      <c r="V28" s="335">
        <f t="shared" si="9"/>
        <v>12.906736147229827</v>
      </c>
      <c r="W28" s="246">
        <f t="shared" si="7"/>
        <v>243.8008538</v>
      </c>
      <c r="X28" s="261"/>
      <c r="Y28" s="261"/>
      <c r="Z28" s="261"/>
      <c r="AA28" s="261"/>
      <c r="AB28" s="261"/>
      <c r="AC28" s="261"/>
      <c r="AD28" s="261"/>
    </row>
    <row r="29" spans="1:30" ht="38.25" customHeight="1">
      <c r="B29" s="262" t="s">
        <v>713</v>
      </c>
    </row>
  </sheetData>
  <mergeCells count="13">
    <mergeCell ref="A1:U1"/>
    <mergeCell ref="A4:U4"/>
    <mergeCell ref="D8:H8"/>
    <mergeCell ref="A7:A9"/>
    <mergeCell ref="B7:B9"/>
    <mergeCell ref="C7:C9"/>
    <mergeCell ref="I8:M8"/>
    <mergeCell ref="I7:M7"/>
    <mergeCell ref="D7:H7"/>
    <mergeCell ref="N8:R8"/>
    <mergeCell ref="N7:R7"/>
    <mergeCell ref="S7:W7"/>
    <mergeCell ref="S8:W8"/>
  </mergeCells>
  <phoneticPr fontId="0" type="noConversion"/>
  <pageMargins left="0.9" right="0.36" top="1" bottom="1" header="0.5" footer="0.5"/>
  <pageSetup paperSize="9" scale="47" orientation="portrait" verticalDpi="300" r:id="rId1"/>
  <headerFooter alignWithMargins="0">
    <oddFooter>&amp;LTariff Petition for determination of tariff for FY 2015-16, approval of estimate for 2014-15 and truing up for  FY 2012-13 to FY 2013-14 for RPH</oddFooter>
  </headerFooter>
  <colBreaks count="1" manualBreakCount="1">
    <brk id="13" max="28" man="1"/>
  </colBreaks>
</worksheet>
</file>

<file path=xl/worksheets/sheet25.xml><?xml version="1.0" encoding="utf-8"?>
<worksheet xmlns="http://schemas.openxmlformats.org/spreadsheetml/2006/main" xmlns:r="http://schemas.openxmlformats.org/officeDocument/2006/relationships">
  <sheetPr enableFormatConditionsCalculation="0">
    <tabColor indexed="50"/>
  </sheetPr>
  <dimension ref="A1:AA33"/>
  <sheetViews>
    <sheetView showGridLines="0" view="pageBreakPreview" topLeftCell="L1" zoomScale="80" zoomScaleSheetLayoutView="80" workbookViewId="0">
      <selection activeCell="Z33" sqref="Z33"/>
    </sheetView>
  </sheetViews>
  <sheetFormatPr defaultRowHeight="15" customHeight="1"/>
  <cols>
    <col min="1" max="1" width="3.42578125" style="1" bestFit="1" customWidth="1"/>
    <col min="2" max="2" width="54.5703125" style="3" customWidth="1"/>
    <col min="3" max="3" width="9.7109375" style="3" customWidth="1"/>
    <col min="4" max="4" width="10" style="3" bestFit="1" customWidth="1"/>
    <col min="5" max="5" width="9.42578125" style="3" customWidth="1"/>
    <col min="6" max="6" width="9.85546875" style="3" bestFit="1" customWidth="1"/>
    <col min="7" max="7" width="12" style="3" bestFit="1" customWidth="1"/>
    <col min="8" max="8" width="9.140625" style="3"/>
    <col min="9" max="9" width="8.7109375" style="3" customWidth="1"/>
    <col min="10" max="10" width="9.140625" style="1"/>
    <col min="11" max="11" width="9.42578125" style="1" bestFit="1" customWidth="1"/>
    <col min="12" max="12" width="9.85546875" style="1" bestFit="1" customWidth="1"/>
    <col min="13" max="13" width="12" style="1" bestFit="1" customWidth="1"/>
    <col min="14" max="14" width="9.7109375" style="1" customWidth="1"/>
    <col min="15" max="15" width="10.85546875" style="1" customWidth="1"/>
    <col min="16" max="16" width="9.140625" style="1" bestFit="1"/>
    <col min="17" max="17" width="9.42578125" style="1" bestFit="1" customWidth="1"/>
    <col min="18" max="18" width="9.85546875" style="1" bestFit="1" customWidth="1"/>
    <col min="19" max="19" width="12" style="1" bestFit="1" customWidth="1"/>
    <col min="20" max="20" width="9.140625" style="1" bestFit="1"/>
    <col min="21" max="21" width="8.7109375" style="1" bestFit="1" customWidth="1"/>
    <col min="22" max="22" width="9.140625" style="1" bestFit="1"/>
    <col min="23" max="23" width="9.42578125" style="1" bestFit="1" customWidth="1"/>
    <col min="24" max="24" width="9.85546875" style="1" bestFit="1" customWidth="1"/>
    <col min="25" max="25" width="12" style="1" bestFit="1" customWidth="1"/>
    <col min="26" max="26" width="9.140625" style="1" bestFit="1"/>
    <col min="27" max="27" width="9.5703125" style="1" customWidth="1"/>
    <col min="28" max="16384" width="9.140625" style="1"/>
  </cols>
  <sheetData>
    <row r="1" spans="1:27" s="4" customFormat="1" ht="15" customHeight="1">
      <c r="A1" s="398"/>
      <c r="B1" s="398"/>
      <c r="C1" s="398"/>
      <c r="D1" s="398"/>
      <c r="E1" s="398"/>
      <c r="F1" s="398"/>
      <c r="G1" s="398"/>
      <c r="H1" s="398"/>
      <c r="I1" s="398"/>
      <c r="J1" s="398"/>
      <c r="K1" s="398"/>
      <c r="L1" s="398"/>
      <c r="M1" s="398"/>
      <c r="N1" s="398"/>
    </row>
    <row r="2" spans="1:27" s="5" customFormat="1" ht="15" customHeight="1">
      <c r="A2" s="400" t="str">
        <f>Index!A2:C2</f>
        <v>Name of Company:</v>
      </c>
      <c r="B2" s="400"/>
      <c r="C2" s="401" t="str">
        <f>Index!D2</f>
        <v>INDRAPRASTHA POWER GENERATION COMPANY LIMITED</v>
      </c>
      <c r="D2" s="401"/>
      <c r="E2" s="401"/>
      <c r="F2" s="401"/>
      <c r="G2" s="401"/>
      <c r="H2" s="401"/>
      <c r="I2" s="401"/>
      <c r="J2" s="401"/>
      <c r="K2" s="401"/>
      <c r="L2" s="401"/>
      <c r="M2" s="401"/>
      <c r="N2" s="401"/>
      <c r="O2" s="401"/>
      <c r="P2" s="106"/>
      <c r="Q2" s="106"/>
      <c r="R2" s="106"/>
      <c r="S2" s="106"/>
      <c r="T2" s="106"/>
      <c r="U2" s="106"/>
      <c r="V2" s="106" t="str">
        <f>Index!D2</f>
        <v>INDRAPRASTHA POWER GENERATION COMPANY LIMITED</v>
      </c>
      <c r="W2" s="106"/>
      <c r="X2" s="106"/>
      <c r="Y2" s="106"/>
      <c r="Z2" s="106"/>
      <c r="AA2" s="308"/>
    </row>
    <row r="3" spans="1:27" s="2" customFormat="1" ht="15" customHeight="1">
      <c r="A3" s="400" t="str">
        <f>Index!A3:C3</f>
        <v>Name of Plant/  Station:</v>
      </c>
      <c r="B3" s="400"/>
      <c r="C3" s="401" t="str">
        <f>Index!D3</f>
        <v>Rajghat Power House</v>
      </c>
      <c r="D3" s="401"/>
      <c r="E3" s="401"/>
      <c r="F3" s="401"/>
      <c r="G3" s="401"/>
      <c r="H3" s="401"/>
      <c r="I3" s="401"/>
      <c r="J3" s="401"/>
      <c r="K3" s="401"/>
      <c r="L3" s="401"/>
      <c r="M3" s="401"/>
      <c r="N3" s="401"/>
      <c r="O3" s="401"/>
      <c r="P3" s="106"/>
      <c r="Q3" s="106"/>
      <c r="R3" s="106"/>
      <c r="S3" s="106"/>
      <c r="T3" s="106"/>
      <c r="U3" s="106"/>
      <c r="V3" s="106"/>
      <c r="W3" s="106"/>
      <c r="X3" s="106" t="str">
        <f>Index!D3</f>
        <v>Rajghat Power House</v>
      </c>
      <c r="Y3" s="106"/>
      <c r="Z3" s="106"/>
      <c r="AA3" s="308"/>
    </row>
    <row r="4" spans="1:27" ht="15" customHeight="1">
      <c r="A4" s="398"/>
      <c r="B4" s="398"/>
      <c r="C4" s="398"/>
      <c r="D4" s="398"/>
      <c r="E4" s="398"/>
      <c r="F4" s="398"/>
      <c r="G4" s="398"/>
      <c r="H4" s="398"/>
      <c r="I4" s="398"/>
      <c r="J4" s="398"/>
      <c r="K4" s="398"/>
      <c r="L4" s="398"/>
      <c r="M4" s="398"/>
      <c r="N4" s="398"/>
    </row>
    <row r="5" spans="1:27" ht="15" customHeight="1">
      <c r="A5" s="402" t="str">
        <f>Index!D31</f>
        <v xml:space="preserve">Interest and Finance Charges </v>
      </c>
      <c r="B5" s="402"/>
      <c r="C5" s="402"/>
      <c r="D5" s="402"/>
      <c r="E5" s="402"/>
      <c r="F5" s="402"/>
      <c r="G5" s="402"/>
      <c r="H5" s="402"/>
      <c r="I5" s="402"/>
      <c r="J5" s="402"/>
      <c r="K5" s="402"/>
      <c r="L5" s="402"/>
      <c r="M5" s="402"/>
      <c r="N5" s="52" t="s">
        <v>156</v>
      </c>
      <c r="O5" s="207" t="str">
        <f>Index!C31</f>
        <v>F24</v>
      </c>
      <c r="P5" s="317"/>
      <c r="Q5" s="317"/>
      <c r="R5" s="317"/>
      <c r="S5" s="317"/>
      <c r="T5" s="317"/>
      <c r="U5" s="317"/>
      <c r="V5" s="317"/>
      <c r="W5" s="317"/>
      <c r="X5" s="317"/>
      <c r="Y5" s="317"/>
      <c r="Z5" s="52" t="s">
        <v>156</v>
      </c>
      <c r="AA5" s="207" t="str">
        <f>Index!C31</f>
        <v>F24</v>
      </c>
    </row>
    <row r="6" spans="1:27" ht="15" customHeight="1">
      <c r="A6" s="399"/>
      <c r="B6" s="399"/>
      <c r="C6" s="399"/>
      <c r="D6" s="399"/>
      <c r="E6" s="399"/>
      <c r="F6" s="399"/>
      <c r="G6" s="399"/>
      <c r="H6" s="399"/>
      <c r="I6" s="399"/>
      <c r="J6" s="399"/>
      <c r="K6" s="399"/>
      <c r="L6" s="399"/>
      <c r="M6" s="399"/>
      <c r="N6" s="23"/>
      <c r="O6" s="10" t="s">
        <v>683</v>
      </c>
      <c r="AA6" s="10" t="s">
        <v>683</v>
      </c>
    </row>
    <row r="7" spans="1:27" ht="15" customHeight="1">
      <c r="A7" s="396"/>
      <c r="B7" s="484" t="s">
        <v>35</v>
      </c>
      <c r="C7" s="484" t="s">
        <v>114</v>
      </c>
      <c r="D7" s="410" t="s">
        <v>165</v>
      </c>
      <c r="E7" s="410"/>
      <c r="F7" s="410"/>
      <c r="G7" s="410"/>
      <c r="H7" s="410"/>
      <c r="I7" s="410"/>
      <c r="J7" s="410" t="s">
        <v>166</v>
      </c>
      <c r="K7" s="410"/>
      <c r="L7" s="410"/>
      <c r="M7" s="410"/>
      <c r="N7" s="410"/>
      <c r="O7" s="410"/>
      <c r="P7" s="410" t="s">
        <v>167</v>
      </c>
      <c r="Q7" s="410"/>
      <c r="R7" s="410"/>
      <c r="S7" s="410"/>
      <c r="T7" s="410"/>
      <c r="U7" s="410"/>
      <c r="V7" s="410" t="s">
        <v>748</v>
      </c>
      <c r="W7" s="410"/>
      <c r="X7" s="410"/>
      <c r="Y7" s="410"/>
      <c r="Z7" s="410"/>
      <c r="AA7" s="410"/>
    </row>
    <row r="8" spans="1:27" ht="15" customHeight="1">
      <c r="A8" s="396"/>
      <c r="B8" s="485"/>
      <c r="C8" s="485"/>
      <c r="D8" s="410" t="s">
        <v>24</v>
      </c>
      <c r="E8" s="410"/>
      <c r="F8" s="410"/>
      <c r="G8" s="410"/>
      <c r="H8" s="410"/>
      <c r="I8" s="410"/>
      <c r="J8" s="410" t="s">
        <v>24</v>
      </c>
      <c r="K8" s="410"/>
      <c r="L8" s="410"/>
      <c r="M8" s="410"/>
      <c r="N8" s="410"/>
      <c r="O8" s="410"/>
      <c r="P8" s="410" t="s">
        <v>8</v>
      </c>
      <c r="Q8" s="410"/>
      <c r="R8" s="410"/>
      <c r="S8" s="410"/>
      <c r="T8" s="410"/>
      <c r="U8" s="410"/>
      <c r="V8" s="410" t="s">
        <v>45</v>
      </c>
      <c r="W8" s="410"/>
      <c r="X8" s="410"/>
      <c r="Y8" s="410"/>
      <c r="Z8" s="410"/>
      <c r="AA8" s="410"/>
    </row>
    <row r="9" spans="1:27" ht="47.25" customHeight="1">
      <c r="A9" s="396"/>
      <c r="B9" s="486"/>
      <c r="C9" s="486"/>
      <c r="D9" s="99" t="s">
        <v>36</v>
      </c>
      <c r="E9" s="99" t="s">
        <v>41</v>
      </c>
      <c r="F9" s="99" t="s">
        <v>142</v>
      </c>
      <c r="G9" s="99" t="s">
        <v>76</v>
      </c>
      <c r="H9" s="99" t="s">
        <v>279</v>
      </c>
      <c r="I9" s="99" t="s">
        <v>77</v>
      </c>
      <c r="J9" s="99" t="s">
        <v>36</v>
      </c>
      <c r="K9" s="99" t="s">
        <v>41</v>
      </c>
      <c r="L9" s="99" t="s">
        <v>142</v>
      </c>
      <c r="M9" s="99" t="s">
        <v>76</v>
      </c>
      <c r="N9" s="99" t="s">
        <v>279</v>
      </c>
      <c r="O9" s="99" t="s">
        <v>77</v>
      </c>
      <c r="P9" s="99" t="s">
        <v>36</v>
      </c>
      <c r="Q9" s="99" t="s">
        <v>41</v>
      </c>
      <c r="R9" s="99" t="s">
        <v>142</v>
      </c>
      <c r="S9" s="99" t="s">
        <v>76</v>
      </c>
      <c r="T9" s="99" t="s">
        <v>279</v>
      </c>
      <c r="U9" s="99" t="s">
        <v>77</v>
      </c>
      <c r="V9" s="99" t="s">
        <v>36</v>
      </c>
      <c r="W9" s="341" t="s">
        <v>41</v>
      </c>
      <c r="X9" s="341" t="s">
        <v>142</v>
      </c>
      <c r="Y9" s="341" t="s">
        <v>76</v>
      </c>
      <c r="Z9" s="341" t="s">
        <v>279</v>
      </c>
      <c r="AA9" s="341" t="s">
        <v>77</v>
      </c>
    </row>
    <row r="10" spans="1:27" ht="15" customHeight="1">
      <c r="A10" s="31" t="s">
        <v>19</v>
      </c>
      <c r="B10" s="61" t="s">
        <v>143</v>
      </c>
      <c r="C10" s="63"/>
      <c r="D10" s="63"/>
      <c r="E10" s="63"/>
      <c r="F10" s="63"/>
      <c r="G10" s="63"/>
      <c r="H10" s="63"/>
      <c r="I10" s="97"/>
      <c r="J10" s="98"/>
      <c r="K10" s="98"/>
      <c r="L10" s="98"/>
      <c r="M10" s="98"/>
      <c r="N10" s="98"/>
      <c r="O10" s="98"/>
      <c r="P10" s="98"/>
      <c r="Q10" s="98"/>
      <c r="R10" s="98"/>
      <c r="S10" s="98"/>
      <c r="T10" s="98"/>
      <c r="U10" s="98"/>
      <c r="V10" s="233"/>
      <c r="W10" s="342"/>
      <c r="X10" s="342"/>
      <c r="Y10" s="342"/>
      <c r="Z10" s="342"/>
      <c r="AA10" s="342"/>
    </row>
    <row r="11" spans="1:27" ht="15" customHeight="1">
      <c r="A11" s="82"/>
      <c r="B11" s="100" t="s">
        <v>31</v>
      </c>
      <c r="C11" s="63"/>
      <c r="D11" s="236">
        <v>0.12</v>
      </c>
      <c r="E11" s="75">
        <v>34.76</v>
      </c>
      <c r="F11" s="75">
        <v>0</v>
      </c>
      <c r="G11" s="75">
        <f>11.6667*42.56%</f>
        <v>4.9653475200000008</v>
      </c>
      <c r="H11" s="75">
        <v>3.95</v>
      </c>
      <c r="I11" s="265">
        <f>E11+F11-G11</f>
        <v>29.794652479999996</v>
      </c>
      <c r="J11" s="273">
        <v>0.12</v>
      </c>
      <c r="K11" s="267">
        <f>I11</f>
        <v>29.794652479999996</v>
      </c>
      <c r="L11" s="267">
        <v>0</v>
      </c>
      <c r="M11" s="267">
        <v>0</v>
      </c>
      <c r="N11" s="267">
        <f>((K11+O11)/2)*J11</f>
        <v>3.5753582975999993</v>
      </c>
      <c r="O11" s="265">
        <f>K11+L11-M11</f>
        <v>29.794652479999996</v>
      </c>
      <c r="P11" s="273">
        <v>0.12</v>
      </c>
      <c r="Q11" s="267">
        <f>O11</f>
        <v>29.794652479999996</v>
      </c>
      <c r="R11" s="267">
        <v>0</v>
      </c>
      <c r="S11" s="267">
        <v>0</v>
      </c>
      <c r="T11" s="267">
        <f>((Q11+U11)/2)*P11</f>
        <v>3.5753582975999993</v>
      </c>
      <c r="U11" s="265">
        <f>Q11+R11-S11</f>
        <v>29.794652479999996</v>
      </c>
      <c r="V11" s="272">
        <v>0.12</v>
      </c>
      <c r="W11" s="343">
        <f>U11</f>
        <v>29.794652479999996</v>
      </c>
      <c r="X11" s="344">
        <v>0</v>
      </c>
      <c r="Y11" s="344">
        <v>0</v>
      </c>
      <c r="Z11" s="343">
        <f>((W11+AA11)/2)*V11</f>
        <v>3.5753582975999993</v>
      </c>
      <c r="AA11" s="349">
        <f>W11+X11-Y11</f>
        <v>29.794652479999996</v>
      </c>
    </row>
    <row r="12" spans="1:27" ht="15" customHeight="1">
      <c r="A12" s="82"/>
      <c r="B12" s="100" t="s">
        <v>32</v>
      </c>
      <c r="C12" s="63"/>
      <c r="D12" s="236">
        <v>0.11</v>
      </c>
      <c r="E12" s="75">
        <f>4.19*0.7</f>
        <v>2.9330000000000003</v>
      </c>
      <c r="F12" s="75">
        <v>0</v>
      </c>
      <c r="G12" s="75">
        <v>0</v>
      </c>
      <c r="H12" s="75">
        <f>(E12+I12)/2*D12</f>
        <v>0.32263000000000003</v>
      </c>
      <c r="I12" s="265">
        <f>E12+F12-G12</f>
        <v>2.9330000000000003</v>
      </c>
      <c r="J12" s="359">
        <v>0.11</v>
      </c>
      <c r="K12" s="267">
        <f>I12</f>
        <v>2.9330000000000003</v>
      </c>
      <c r="L12" s="268">
        <f>2.21*0.7</f>
        <v>1.5469999999999999</v>
      </c>
      <c r="M12" s="268">
        <v>0.22</v>
      </c>
      <c r="N12" s="75">
        <f>(K12+O12)/2*J12</f>
        <v>0.39561500000000011</v>
      </c>
      <c r="O12" s="265">
        <f>K12+L12-M12</f>
        <v>4.2600000000000007</v>
      </c>
      <c r="P12" s="359">
        <v>0.11</v>
      </c>
      <c r="Q12" s="267">
        <f>O12</f>
        <v>4.2600000000000007</v>
      </c>
      <c r="R12" s="268">
        <f>0.13*0.7</f>
        <v>9.0999999999999998E-2</v>
      </c>
      <c r="S12" s="268">
        <v>0.23</v>
      </c>
      <c r="T12" s="75">
        <f>(Q12+U12)/2*P12</f>
        <v>0.460955</v>
      </c>
      <c r="U12" s="265">
        <f>Q12+R12-S12</f>
        <v>4.1210000000000004</v>
      </c>
      <c r="V12" s="360">
        <v>0.11</v>
      </c>
      <c r="W12" s="343">
        <f>U12</f>
        <v>4.1210000000000004</v>
      </c>
      <c r="X12" s="345">
        <v>0</v>
      </c>
      <c r="Y12" s="345">
        <v>0.23</v>
      </c>
      <c r="Z12" s="75">
        <f>(W12+AA12)/2*V12</f>
        <v>0.44066000000000005</v>
      </c>
      <c r="AA12" s="75">
        <f>W12+X12-Y12</f>
        <v>3.8910000000000005</v>
      </c>
    </row>
    <row r="13" spans="1:27" ht="15" customHeight="1">
      <c r="A13" s="82"/>
      <c r="B13" s="100" t="s">
        <v>33</v>
      </c>
      <c r="C13" s="63"/>
      <c r="D13" s="236"/>
      <c r="E13" s="75"/>
      <c r="F13" s="75"/>
      <c r="G13" s="75"/>
      <c r="H13" s="75"/>
      <c r="I13" s="265"/>
      <c r="J13" s="98"/>
      <c r="K13" s="267"/>
      <c r="L13" s="268"/>
      <c r="M13" s="268"/>
      <c r="N13" s="268"/>
      <c r="O13" s="265"/>
      <c r="P13" s="98"/>
      <c r="Q13" s="267"/>
      <c r="R13" s="268"/>
      <c r="S13" s="268"/>
      <c r="T13" s="268"/>
      <c r="U13" s="265"/>
      <c r="V13" s="233"/>
      <c r="W13" s="343"/>
      <c r="X13" s="345"/>
      <c r="Y13" s="345"/>
      <c r="Z13" s="345"/>
      <c r="AA13" s="349"/>
    </row>
    <row r="14" spans="1:27" ht="15" customHeight="1">
      <c r="A14" s="82"/>
      <c r="B14" s="100" t="s">
        <v>34</v>
      </c>
      <c r="C14" s="63"/>
      <c r="D14" s="236"/>
      <c r="E14" s="75"/>
      <c r="F14" s="75"/>
      <c r="G14" s="75"/>
      <c r="H14" s="75"/>
      <c r="I14" s="265"/>
      <c r="J14" s="98"/>
      <c r="K14" s="267"/>
      <c r="L14" s="268"/>
      <c r="M14" s="268"/>
      <c r="N14" s="268"/>
      <c r="O14" s="265"/>
      <c r="P14" s="98"/>
      <c r="Q14" s="267"/>
      <c r="R14" s="268"/>
      <c r="S14" s="268"/>
      <c r="T14" s="268"/>
      <c r="U14" s="265"/>
      <c r="V14" s="233"/>
      <c r="W14" s="343"/>
      <c r="X14" s="345"/>
      <c r="Y14" s="345"/>
      <c r="Z14" s="345"/>
      <c r="AA14" s="349"/>
    </row>
    <row r="15" spans="1:27" ht="15" customHeight="1">
      <c r="A15" s="82"/>
      <c r="B15" s="61" t="s">
        <v>42</v>
      </c>
      <c r="C15" s="63"/>
      <c r="D15" s="271"/>
      <c r="E15" s="238">
        <f>SUM(E11:E14)</f>
        <v>37.692999999999998</v>
      </c>
      <c r="F15" s="238">
        <f>SUM(F11:F14)</f>
        <v>0</v>
      </c>
      <c r="G15" s="238">
        <f>SUM(G11:G14)</f>
        <v>4.9653475200000008</v>
      </c>
      <c r="H15" s="238">
        <f>SUM(H11:H14)</f>
        <v>4.2726300000000004</v>
      </c>
      <c r="I15" s="238">
        <f>SUM(I11:I14)</f>
        <v>32.727652479999996</v>
      </c>
      <c r="J15" s="61"/>
      <c r="K15" s="238">
        <f>SUM(K11:K14)</f>
        <v>32.727652479999996</v>
      </c>
      <c r="L15" s="238">
        <f>SUM(L11:L14)</f>
        <v>1.5469999999999999</v>
      </c>
      <c r="M15" s="238">
        <f>SUM(M11:M14)</f>
        <v>0.22</v>
      </c>
      <c r="N15" s="238">
        <f>SUM(N11:N14)</f>
        <v>3.9709732975999996</v>
      </c>
      <c r="O15" s="238">
        <f>SUM(O11:O14)</f>
        <v>34.054652479999994</v>
      </c>
      <c r="P15" s="61"/>
      <c r="Q15" s="238">
        <f>SUM(Q11:Q14)</f>
        <v>34.054652479999994</v>
      </c>
      <c r="R15" s="238">
        <f>SUM(R11:R14)</f>
        <v>9.0999999999999998E-2</v>
      </c>
      <c r="S15" s="238">
        <f>SUM(S11:S14)</f>
        <v>0.23</v>
      </c>
      <c r="T15" s="238">
        <f>SUM(T11:T14)</f>
        <v>4.0363132975999996</v>
      </c>
      <c r="U15" s="238">
        <f>SUM(U11:U14)</f>
        <v>33.915652479999999</v>
      </c>
      <c r="V15" s="234"/>
      <c r="W15" s="346">
        <f>SUM(W11:W14)</f>
        <v>33.915652479999999</v>
      </c>
      <c r="X15" s="347">
        <f>SUM(X11:X14)</f>
        <v>0</v>
      </c>
      <c r="Y15" s="347">
        <f>SUM(Y11:Y14)</f>
        <v>0.23</v>
      </c>
      <c r="Z15" s="347">
        <f>SUM(Z11:Z14)</f>
        <v>4.0160182975999996</v>
      </c>
      <c r="AA15" s="346">
        <f>SUM(AA11:AA14)</f>
        <v>33.685652479999995</v>
      </c>
    </row>
    <row r="16" spans="1:27" ht="15" customHeight="1">
      <c r="A16" s="82"/>
      <c r="B16" s="63"/>
      <c r="C16" s="63"/>
      <c r="D16" s="236"/>
      <c r="E16" s="75"/>
      <c r="F16" s="75"/>
      <c r="G16" s="75"/>
      <c r="H16" s="75"/>
      <c r="I16" s="265"/>
      <c r="J16" s="98"/>
      <c r="K16" s="268"/>
      <c r="L16" s="268"/>
      <c r="M16" s="268"/>
      <c r="N16" s="268"/>
      <c r="O16" s="265"/>
      <c r="P16" s="98"/>
      <c r="Q16" s="268"/>
      <c r="R16" s="268"/>
      <c r="S16" s="268"/>
      <c r="T16" s="268"/>
      <c r="U16" s="265"/>
      <c r="V16" s="233"/>
      <c r="W16" s="348"/>
      <c r="X16" s="345"/>
      <c r="Y16" s="345"/>
      <c r="Z16" s="345"/>
      <c r="AA16" s="349"/>
    </row>
    <row r="17" spans="1:27" ht="15" customHeight="1">
      <c r="A17" s="31" t="s">
        <v>20</v>
      </c>
      <c r="B17" s="61" t="s">
        <v>144</v>
      </c>
      <c r="C17" s="63"/>
      <c r="D17" s="236"/>
      <c r="E17" s="75"/>
      <c r="F17" s="75"/>
      <c r="G17" s="75"/>
      <c r="H17" s="75"/>
      <c r="I17" s="265"/>
      <c r="J17" s="98"/>
      <c r="K17" s="268"/>
      <c r="L17" s="268"/>
      <c r="M17" s="268"/>
      <c r="N17" s="268"/>
      <c r="O17" s="265"/>
      <c r="P17" s="98"/>
      <c r="Q17" s="268"/>
      <c r="R17" s="268"/>
      <c r="S17" s="268"/>
      <c r="T17" s="268"/>
      <c r="U17" s="265"/>
      <c r="V17" s="233"/>
      <c r="W17" s="348"/>
      <c r="X17" s="345"/>
      <c r="Y17" s="345"/>
      <c r="Z17" s="345"/>
      <c r="AA17" s="349"/>
    </row>
    <row r="18" spans="1:27" ht="15" customHeight="1">
      <c r="A18" s="82"/>
      <c r="B18" s="63" t="s">
        <v>31</v>
      </c>
      <c r="C18" s="63"/>
      <c r="D18" s="236">
        <v>0.13</v>
      </c>
      <c r="E18" s="75">
        <v>3</v>
      </c>
      <c r="F18" s="75">
        <v>0</v>
      </c>
      <c r="G18" s="75">
        <v>0</v>
      </c>
      <c r="H18" s="75">
        <f>((E18+I18)/2)*D18</f>
        <v>0.39</v>
      </c>
      <c r="I18" s="265">
        <f>E18+F18-G18</f>
        <v>3</v>
      </c>
      <c r="J18" s="236">
        <v>0.13</v>
      </c>
      <c r="K18" s="267">
        <f>I18</f>
        <v>3</v>
      </c>
      <c r="L18" s="267">
        <v>0</v>
      </c>
      <c r="M18" s="267">
        <v>0</v>
      </c>
      <c r="N18" s="267">
        <f>((K18+O18)/2)*J18</f>
        <v>0.39</v>
      </c>
      <c r="O18" s="265">
        <f>K18+L18-M18</f>
        <v>3</v>
      </c>
      <c r="P18" s="236">
        <v>0.13</v>
      </c>
      <c r="Q18" s="267">
        <f>O18</f>
        <v>3</v>
      </c>
      <c r="R18" s="267">
        <v>0</v>
      </c>
      <c r="S18" s="267">
        <v>0</v>
      </c>
      <c r="T18" s="267">
        <f>((Q18+U18)/2)*P18</f>
        <v>0.39</v>
      </c>
      <c r="U18" s="265">
        <f>Q18+R18-S18</f>
        <v>3</v>
      </c>
      <c r="V18" s="236">
        <v>0.13</v>
      </c>
      <c r="W18" s="343">
        <f>U18</f>
        <v>3</v>
      </c>
      <c r="X18" s="344">
        <v>0</v>
      </c>
      <c r="Y18" s="344">
        <v>0</v>
      </c>
      <c r="Z18" s="343">
        <f>((W18+AA18)/2)*V18</f>
        <v>0.39</v>
      </c>
      <c r="AA18" s="349">
        <f>W18+X18-Y18</f>
        <v>3</v>
      </c>
    </row>
    <row r="19" spans="1:27" ht="15" customHeight="1">
      <c r="A19" s="82"/>
      <c r="B19" s="63" t="s">
        <v>32</v>
      </c>
      <c r="C19" s="63"/>
      <c r="D19" s="236">
        <v>0.115</v>
      </c>
      <c r="E19" s="75">
        <v>17.850000000000001</v>
      </c>
      <c r="F19" s="75"/>
      <c r="G19" s="75">
        <v>0.48</v>
      </c>
      <c r="H19" s="75">
        <f>((E19+I19)/2)*D19</f>
        <v>2.02515</v>
      </c>
      <c r="I19" s="265">
        <f>E19+F19-G19</f>
        <v>17.37</v>
      </c>
      <c r="J19" s="236">
        <v>0.115</v>
      </c>
      <c r="K19" s="267">
        <f>I19</f>
        <v>17.37</v>
      </c>
      <c r="L19" s="267"/>
      <c r="M19" s="267">
        <v>0</v>
      </c>
      <c r="N19" s="267">
        <f>((K19+O19)/2)*J19</f>
        <v>1.9975500000000002</v>
      </c>
      <c r="O19" s="265">
        <f>K19+L19-M19</f>
        <v>17.37</v>
      </c>
      <c r="P19" s="236">
        <v>0.115</v>
      </c>
      <c r="Q19" s="267">
        <f>O19</f>
        <v>17.37</v>
      </c>
      <c r="R19" s="267"/>
      <c r="S19" s="267">
        <v>0</v>
      </c>
      <c r="T19" s="267">
        <f>((Q19+U19)/2)*P19</f>
        <v>1.9975500000000002</v>
      </c>
      <c r="U19" s="265">
        <f>Q19+R19-S19</f>
        <v>17.37</v>
      </c>
      <c r="V19" s="236">
        <v>0.115</v>
      </c>
      <c r="W19" s="343">
        <f>U19</f>
        <v>17.37</v>
      </c>
      <c r="X19" s="344"/>
      <c r="Y19" s="344">
        <v>0</v>
      </c>
      <c r="Z19" s="343">
        <f>((W19+AA19)/2)*V19</f>
        <v>1.9975500000000002</v>
      </c>
      <c r="AA19" s="349">
        <f>W19+X19-Y19</f>
        <v>17.37</v>
      </c>
    </row>
    <row r="20" spans="1:27" ht="15" customHeight="1">
      <c r="A20" s="82"/>
      <c r="B20" s="61" t="s">
        <v>42</v>
      </c>
      <c r="C20" s="61"/>
      <c r="D20" s="61"/>
      <c r="E20" s="238">
        <f>SUM(E18:E19)</f>
        <v>20.85</v>
      </c>
      <c r="F20" s="238">
        <f>SUM(F18:F19)</f>
        <v>0</v>
      </c>
      <c r="G20" s="238">
        <f>SUM(G18:G19)</f>
        <v>0.48</v>
      </c>
      <c r="H20" s="238">
        <f>SUM(H18:H19)</f>
        <v>2.4151500000000001</v>
      </c>
      <c r="I20" s="238">
        <f>SUM(I18:I19)</f>
        <v>20.37</v>
      </c>
      <c r="J20" s="61"/>
      <c r="K20" s="238">
        <f>SUM(K18:K19)</f>
        <v>20.37</v>
      </c>
      <c r="L20" s="238">
        <f>SUM(L18:L19)</f>
        <v>0</v>
      </c>
      <c r="M20" s="238">
        <f>SUM(M18:M19)</f>
        <v>0</v>
      </c>
      <c r="N20" s="238">
        <f>SUM(N18:N19)</f>
        <v>2.3875500000000001</v>
      </c>
      <c r="O20" s="238">
        <f>SUM(O18:O19)</f>
        <v>20.37</v>
      </c>
      <c r="P20" s="61"/>
      <c r="Q20" s="238">
        <f>SUM(Q18:Q19)</f>
        <v>20.37</v>
      </c>
      <c r="R20" s="238">
        <f>SUM(R18:R19)</f>
        <v>0</v>
      </c>
      <c r="S20" s="238">
        <f>SUM(S18:S19)</f>
        <v>0</v>
      </c>
      <c r="T20" s="238">
        <f>SUM(T18:T19)</f>
        <v>2.3875500000000001</v>
      </c>
      <c r="U20" s="238">
        <f>SUM(U18:U19)</f>
        <v>20.37</v>
      </c>
      <c r="V20" s="234"/>
      <c r="W20" s="346">
        <f>SUM(W18:W19)</f>
        <v>20.37</v>
      </c>
      <c r="X20" s="346">
        <f>SUM(X18:X19)</f>
        <v>0</v>
      </c>
      <c r="Y20" s="346">
        <f>SUM(Y18:Y19)</f>
        <v>0</v>
      </c>
      <c r="Z20" s="346">
        <f>SUM(Z18:Z19)</f>
        <v>2.3875500000000001</v>
      </c>
      <c r="AA20" s="346">
        <f>SUM(AA18:AA19)</f>
        <v>20.37</v>
      </c>
    </row>
    <row r="21" spans="1:27" ht="15" customHeight="1">
      <c r="A21" s="82"/>
      <c r="B21" s="63"/>
      <c r="C21" s="63"/>
      <c r="D21" s="63"/>
      <c r="E21" s="75"/>
      <c r="F21" s="75"/>
      <c r="G21" s="75"/>
      <c r="H21" s="75"/>
      <c r="I21" s="75"/>
      <c r="J21" s="63"/>
      <c r="K21" s="75"/>
      <c r="L21" s="75"/>
      <c r="M21" s="75"/>
      <c r="N21" s="75"/>
      <c r="O21" s="75"/>
      <c r="P21" s="63"/>
      <c r="Q21" s="75"/>
      <c r="R21" s="75"/>
      <c r="S21" s="75"/>
      <c r="T21" s="75"/>
      <c r="U21" s="75"/>
      <c r="V21" s="235"/>
      <c r="W21" s="349"/>
      <c r="X21" s="350"/>
      <c r="Y21" s="350"/>
      <c r="Z21" s="350"/>
      <c r="AA21" s="349"/>
    </row>
    <row r="22" spans="1:27" ht="15" customHeight="1">
      <c r="A22" s="31" t="s">
        <v>21</v>
      </c>
      <c r="B22" s="61" t="s">
        <v>78</v>
      </c>
      <c r="C22" s="63"/>
      <c r="D22" s="63"/>
      <c r="E22" s="75"/>
      <c r="F22" s="75"/>
      <c r="G22" s="75"/>
      <c r="H22" s="75"/>
      <c r="I22" s="265"/>
      <c r="J22" s="63"/>
      <c r="K22" s="75"/>
      <c r="L22" s="75"/>
      <c r="M22" s="75"/>
      <c r="N22" s="75"/>
      <c r="O22" s="265">
        <f>K22+L22-M22</f>
        <v>0</v>
      </c>
      <c r="P22" s="63"/>
      <c r="Q22" s="75"/>
      <c r="R22" s="75"/>
      <c r="S22" s="75"/>
      <c r="T22" s="75"/>
      <c r="U22" s="265">
        <f>Q22+R22-S22</f>
        <v>0</v>
      </c>
      <c r="V22" s="235"/>
      <c r="W22" s="349"/>
      <c r="X22" s="350"/>
      <c r="Y22" s="350"/>
      <c r="Z22" s="350"/>
      <c r="AA22" s="349">
        <f>W22+X22-Y22</f>
        <v>0</v>
      </c>
    </row>
    <row r="23" spans="1:27" ht="15" customHeight="1">
      <c r="A23" s="63"/>
      <c r="B23" s="63" t="s">
        <v>37</v>
      </c>
      <c r="C23" s="63"/>
      <c r="D23" s="63"/>
      <c r="E23" s="75"/>
      <c r="F23" s="75"/>
      <c r="G23" s="75"/>
      <c r="H23" s="75"/>
      <c r="I23" s="265"/>
      <c r="J23" s="63"/>
      <c r="K23" s="267"/>
      <c r="L23" s="75"/>
      <c r="M23" s="75"/>
      <c r="N23" s="267"/>
      <c r="O23" s="265">
        <f>K23+L23-M23</f>
        <v>0</v>
      </c>
      <c r="P23" s="63"/>
      <c r="Q23" s="267">
        <f>O23</f>
        <v>0</v>
      </c>
      <c r="R23" s="75"/>
      <c r="S23" s="75"/>
      <c r="T23" s="75"/>
      <c r="U23" s="265">
        <f>Q23+R23-S23</f>
        <v>0</v>
      </c>
      <c r="V23" s="235"/>
      <c r="W23" s="343">
        <f>U23</f>
        <v>0</v>
      </c>
      <c r="X23" s="350"/>
      <c r="Y23" s="350"/>
      <c r="Z23" s="350"/>
      <c r="AA23" s="349">
        <f>W23+X23-Y23</f>
        <v>0</v>
      </c>
    </row>
    <row r="24" spans="1:27" ht="15" customHeight="1">
      <c r="A24" s="63"/>
      <c r="B24" s="63" t="s">
        <v>686</v>
      </c>
      <c r="C24" s="63"/>
      <c r="D24" s="63"/>
      <c r="E24" s="75"/>
      <c r="F24" s="75"/>
      <c r="G24" s="75"/>
      <c r="H24" s="75"/>
      <c r="I24" s="265"/>
      <c r="J24" s="63"/>
      <c r="K24" s="267"/>
      <c r="L24" s="75"/>
      <c r="M24" s="75"/>
      <c r="N24" s="75"/>
      <c r="O24" s="265">
        <f>K24+L24-M24</f>
        <v>0</v>
      </c>
      <c r="P24" s="63"/>
      <c r="Q24" s="267">
        <f>O24</f>
        <v>0</v>
      </c>
      <c r="R24" s="75"/>
      <c r="S24" s="75"/>
      <c r="T24" s="75"/>
      <c r="U24" s="265">
        <f>Q24+R24-S24</f>
        <v>0</v>
      </c>
      <c r="V24" s="235"/>
      <c r="W24" s="343">
        <f>U24</f>
        <v>0</v>
      </c>
      <c r="X24" s="350"/>
      <c r="Y24" s="350"/>
      <c r="Z24" s="350"/>
      <c r="AA24" s="349">
        <f>W24+X24-Y24</f>
        <v>0</v>
      </c>
    </row>
    <row r="25" spans="1:27" ht="15" customHeight="1">
      <c r="A25" s="63"/>
      <c r="B25" s="63" t="s">
        <v>79</v>
      </c>
      <c r="C25" s="63"/>
      <c r="D25" s="63"/>
      <c r="E25" s="75"/>
      <c r="F25" s="75"/>
      <c r="G25" s="75"/>
      <c r="H25" s="75"/>
      <c r="I25" s="265"/>
      <c r="J25" s="63"/>
      <c r="K25" s="267"/>
      <c r="L25" s="75"/>
      <c r="M25" s="75"/>
      <c r="N25" s="75"/>
      <c r="O25" s="265">
        <f>K25+L25-M25</f>
        <v>0</v>
      </c>
      <c r="P25" s="63"/>
      <c r="Q25" s="267">
        <f>O25</f>
        <v>0</v>
      </c>
      <c r="R25" s="75"/>
      <c r="S25" s="75"/>
      <c r="T25" s="75"/>
      <c r="U25" s="265">
        <f>Q25+R25-S25</f>
        <v>0</v>
      </c>
      <c r="V25" s="235"/>
      <c r="W25" s="343">
        <f>U25</f>
        <v>0</v>
      </c>
      <c r="X25" s="350"/>
      <c r="Y25" s="350"/>
      <c r="Z25" s="350"/>
      <c r="AA25" s="349">
        <f>W25+X25-Y25</f>
        <v>0</v>
      </c>
    </row>
    <row r="26" spans="1:27" ht="15" customHeight="1">
      <c r="A26" s="63"/>
      <c r="B26" s="63" t="s">
        <v>80</v>
      </c>
      <c r="C26" s="63"/>
      <c r="D26" s="63"/>
      <c r="E26" s="75"/>
      <c r="F26" s="75"/>
      <c r="G26" s="75"/>
      <c r="H26" s="75"/>
      <c r="I26" s="265"/>
      <c r="J26" s="63"/>
      <c r="K26" s="267"/>
      <c r="L26" s="75"/>
      <c r="M26" s="75"/>
      <c r="N26" s="75"/>
      <c r="O26" s="265">
        <f>K26+L26-M26</f>
        <v>0</v>
      </c>
      <c r="P26" s="63"/>
      <c r="Q26" s="267">
        <f>O26</f>
        <v>0</v>
      </c>
      <c r="R26" s="75"/>
      <c r="S26" s="75"/>
      <c r="T26" s="75"/>
      <c r="U26" s="265">
        <f>Q26+R26-S26</f>
        <v>0</v>
      </c>
      <c r="V26" s="235"/>
      <c r="W26" s="343">
        <f>U26</f>
        <v>0</v>
      </c>
      <c r="X26" s="350"/>
      <c r="Y26" s="350"/>
      <c r="Z26" s="350"/>
      <c r="AA26" s="349">
        <f>W26+X26-Y26</f>
        <v>0</v>
      </c>
    </row>
    <row r="27" spans="1:27" ht="15" customHeight="1">
      <c r="A27" s="63"/>
      <c r="B27" s="61" t="s">
        <v>42</v>
      </c>
      <c r="C27" s="61"/>
      <c r="D27" s="61"/>
      <c r="E27" s="238">
        <f>SUM(E23:E26)</f>
        <v>0</v>
      </c>
      <c r="F27" s="238">
        <f>SUM(F23:F26)</f>
        <v>0</v>
      </c>
      <c r="G27" s="238">
        <f>SUM(G23:G26)</f>
        <v>0</v>
      </c>
      <c r="H27" s="238">
        <f>SUM(H23:H26)</f>
        <v>0</v>
      </c>
      <c r="I27" s="238">
        <f>SUM(I23:I26)</f>
        <v>0</v>
      </c>
      <c r="J27" s="61"/>
      <c r="K27" s="238">
        <f>SUM(K23:K26)</f>
        <v>0</v>
      </c>
      <c r="L27" s="238">
        <f>SUM(L23:L26)</f>
        <v>0</v>
      </c>
      <c r="M27" s="238">
        <f>SUM(M23:M26)</f>
        <v>0</v>
      </c>
      <c r="N27" s="238">
        <f>SUM(N23:N26)</f>
        <v>0</v>
      </c>
      <c r="O27" s="238">
        <f>SUM(O23:O26)</f>
        <v>0</v>
      </c>
      <c r="P27" s="61"/>
      <c r="Q27" s="238">
        <f>SUM(Q23:Q26)</f>
        <v>0</v>
      </c>
      <c r="R27" s="238">
        <f>SUM(R23:R26)</f>
        <v>0</v>
      </c>
      <c r="S27" s="238">
        <f>SUM(S23:S26)</f>
        <v>0</v>
      </c>
      <c r="T27" s="238">
        <f>SUM(T23:T26)</f>
        <v>0</v>
      </c>
      <c r="U27" s="238">
        <f>SUM(U23:U26)</f>
        <v>0</v>
      </c>
      <c r="V27" s="234"/>
      <c r="W27" s="346">
        <f>SUM(W23:W26)</f>
        <v>0</v>
      </c>
      <c r="X27" s="346">
        <f>SUM(X23:X26)</f>
        <v>0</v>
      </c>
      <c r="Y27" s="346">
        <f>SUM(Y23:Y26)</f>
        <v>0</v>
      </c>
      <c r="Z27" s="346">
        <f>SUM(Z23:Z26)</f>
        <v>0</v>
      </c>
      <c r="AA27" s="346">
        <f>SUM(AA23:AA26)</f>
        <v>0</v>
      </c>
    </row>
    <row r="28" spans="1:27" ht="15" customHeight="1">
      <c r="A28" s="63"/>
      <c r="B28" s="63"/>
      <c r="C28" s="63"/>
      <c r="D28" s="63"/>
      <c r="E28" s="75"/>
      <c r="F28" s="75"/>
      <c r="G28" s="75"/>
      <c r="H28" s="75"/>
      <c r="I28" s="75"/>
      <c r="J28" s="63"/>
      <c r="K28" s="75"/>
      <c r="L28" s="75"/>
      <c r="M28" s="75"/>
      <c r="N28" s="75"/>
      <c r="O28" s="75"/>
      <c r="P28" s="63"/>
      <c r="Q28" s="75"/>
      <c r="R28" s="75"/>
      <c r="S28" s="75"/>
      <c r="T28" s="75"/>
      <c r="U28" s="75"/>
      <c r="V28" s="235"/>
      <c r="W28" s="349"/>
      <c r="X28" s="350"/>
      <c r="Y28" s="350"/>
      <c r="Z28" s="350"/>
      <c r="AA28" s="349"/>
    </row>
    <row r="29" spans="1:27" ht="15" customHeight="1">
      <c r="A29" s="31" t="s">
        <v>7</v>
      </c>
      <c r="B29" s="61" t="s">
        <v>40</v>
      </c>
      <c r="C29" s="63"/>
      <c r="D29" s="63"/>
      <c r="E29" s="238">
        <f>SUM(E27+E20+E15)</f>
        <v>58.542999999999999</v>
      </c>
      <c r="F29" s="238">
        <f>SUM(F27+F20+F15)</f>
        <v>0</v>
      </c>
      <c r="G29" s="238">
        <f>SUM(G27+G20+G15)</f>
        <v>5.4453475200000003</v>
      </c>
      <c r="H29" s="238">
        <f>SUM(H27+H20+H15)</f>
        <v>6.6877800000000001</v>
      </c>
      <c r="I29" s="238">
        <f>SUM(I27+I20+I15)</f>
        <v>53.097652479999994</v>
      </c>
      <c r="J29" s="61"/>
      <c r="K29" s="238">
        <f>SUM(K27+K20+K15)</f>
        <v>53.097652479999994</v>
      </c>
      <c r="L29" s="238">
        <f>SUM(L27+L20+L15)</f>
        <v>1.5469999999999999</v>
      </c>
      <c r="M29" s="238">
        <f>SUM(M27+M20+M15)</f>
        <v>0.22</v>
      </c>
      <c r="N29" s="238">
        <f>SUM(N27+N20+N15)</f>
        <v>6.3585232975999997</v>
      </c>
      <c r="O29" s="238">
        <f>SUM(O27+O20+O15)</f>
        <v>54.424652479999992</v>
      </c>
      <c r="P29" s="61"/>
      <c r="Q29" s="238">
        <f>SUM(Q27+Q20+Q15)</f>
        <v>54.424652479999992</v>
      </c>
      <c r="R29" s="238">
        <f>SUM(R27+R20+R15)</f>
        <v>9.0999999999999998E-2</v>
      </c>
      <c r="S29" s="238">
        <f>SUM(S27+S20+S15)</f>
        <v>0.23</v>
      </c>
      <c r="T29" s="238">
        <f>SUM(T27+T20+T15)</f>
        <v>6.4238632975999996</v>
      </c>
      <c r="U29" s="238">
        <f>SUM(U27+U20+U15)</f>
        <v>54.285652479999996</v>
      </c>
      <c r="V29" s="234"/>
      <c r="W29" s="346">
        <f>SUM(W27+W20+W15)</f>
        <v>54.285652479999996</v>
      </c>
      <c r="X29" s="346">
        <f>SUM(X27+X20+X15)</f>
        <v>0</v>
      </c>
      <c r="Y29" s="346">
        <f>SUM(Y27+Y20+Y15)</f>
        <v>0.23</v>
      </c>
      <c r="Z29" s="346">
        <f>SUM(Z27+Z20+Z15)</f>
        <v>6.4035682975999997</v>
      </c>
      <c r="AA29" s="346">
        <f>SUM(AA27+AA20+AA15)</f>
        <v>54.055652479999992</v>
      </c>
    </row>
    <row r="30" spans="1:27" ht="15" customHeight="1">
      <c r="A30" s="82" t="s">
        <v>61</v>
      </c>
      <c r="B30" s="63" t="s">
        <v>38</v>
      </c>
      <c r="C30" s="61"/>
      <c r="D30" s="63"/>
      <c r="E30" s="75"/>
      <c r="F30" s="75"/>
      <c r="G30" s="75"/>
      <c r="H30" s="75"/>
      <c r="I30" s="75"/>
      <c r="J30" s="63"/>
      <c r="K30" s="75"/>
      <c r="L30" s="75"/>
      <c r="M30" s="75"/>
      <c r="N30" s="75"/>
      <c r="O30" s="75"/>
      <c r="P30" s="63"/>
      <c r="Q30" s="75"/>
      <c r="R30" s="75"/>
      <c r="S30" s="75"/>
      <c r="T30" s="75"/>
      <c r="U30" s="75"/>
      <c r="V30" s="235"/>
      <c r="W30" s="349"/>
      <c r="X30" s="350"/>
      <c r="Y30" s="350"/>
      <c r="Z30" s="350"/>
      <c r="AA30" s="349"/>
    </row>
    <row r="31" spans="1:27" s="101" customFormat="1" ht="15" customHeight="1">
      <c r="A31" s="94"/>
      <c r="B31" s="94" t="s">
        <v>39</v>
      </c>
      <c r="C31" s="93"/>
      <c r="D31" s="93"/>
      <c r="E31" s="266">
        <f>E29-E30</f>
        <v>58.542999999999999</v>
      </c>
      <c r="F31" s="266">
        <f t="shared" ref="F31:AA31" si="0">F29-F30</f>
        <v>0</v>
      </c>
      <c r="G31" s="266">
        <f t="shared" si="0"/>
        <v>5.4453475200000003</v>
      </c>
      <c r="H31" s="266">
        <f t="shared" si="0"/>
        <v>6.6877800000000001</v>
      </c>
      <c r="I31" s="266">
        <f t="shared" si="0"/>
        <v>53.097652479999994</v>
      </c>
      <c r="J31" s="266">
        <f t="shared" si="0"/>
        <v>0</v>
      </c>
      <c r="K31" s="266">
        <f t="shared" si="0"/>
        <v>53.097652479999994</v>
      </c>
      <c r="L31" s="266">
        <f t="shared" si="0"/>
        <v>1.5469999999999999</v>
      </c>
      <c r="M31" s="266">
        <f t="shared" si="0"/>
        <v>0.22</v>
      </c>
      <c r="N31" s="266">
        <f t="shared" si="0"/>
        <v>6.3585232975999997</v>
      </c>
      <c r="O31" s="266">
        <f t="shared" si="0"/>
        <v>54.424652479999992</v>
      </c>
      <c r="P31" s="266">
        <f t="shared" si="0"/>
        <v>0</v>
      </c>
      <c r="Q31" s="266">
        <f t="shared" si="0"/>
        <v>54.424652479999992</v>
      </c>
      <c r="R31" s="266">
        <f t="shared" si="0"/>
        <v>9.0999999999999998E-2</v>
      </c>
      <c r="S31" s="266">
        <f t="shared" si="0"/>
        <v>0.23</v>
      </c>
      <c r="T31" s="266">
        <f t="shared" si="0"/>
        <v>6.4238632975999996</v>
      </c>
      <c r="U31" s="266">
        <f t="shared" si="0"/>
        <v>54.285652479999996</v>
      </c>
      <c r="V31" s="266">
        <f t="shared" si="0"/>
        <v>0</v>
      </c>
      <c r="W31" s="351">
        <f t="shared" si="0"/>
        <v>54.285652479999996</v>
      </c>
      <c r="X31" s="351">
        <f t="shared" si="0"/>
        <v>0</v>
      </c>
      <c r="Y31" s="351">
        <f t="shared" si="0"/>
        <v>0.23</v>
      </c>
      <c r="Z31" s="351">
        <f t="shared" si="0"/>
        <v>6.4035682975999997</v>
      </c>
      <c r="AA31" s="351">
        <f t="shared" si="0"/>
        <v>54.055652479999992</v>
      </c>
    </row>
    <row r="33" spans="13:13" ht="15" customHeight="1">
      <c r="M33" s="101" t="s">
        <v>208</v>
      </c>
    </row>
  </sheetData>
  <mergeCells count="19">
    <mergeCell ref="A7:A9"/>
    <mergeCell ref="B7:B9"/>
    <mergeCell ref="J8:O8"/>
    <mergeCell ref="D8:I8"/>
    <mergeCell ref="D7:I7"/>
    <mergeCell ref="J7:O7"/>
    <mergeCell ref="V8:AA8"/>
    <mergeCell ref="A1:N1"/>
    <mergeCell ref="A4:N4"/>
    <mergeCell ref="C7:C9"/>
    <mergeCell ref="A2:B2"/>
    <mergeCell ref="A3:B3"/>
    <mergeCell ref="C2:O2"/>
    <mergeCell ref="P7:U7"/>
    <mergeCell ref="P8:U8"/>
    <mergeCell ref="V7:AA7"/>
    <mergeCell ref="C3:O3"/>
    <mergeCell ref="A5:M5"/>
    <mergeCell ref="A6:M6"/>
  </mergeCells>
  <phoneticPr fontId="0" type="noConversion"/>
  <pageMargins left="0.9" right="0.36" top="1" bottom="1" header="0.5" footer="0.5"/>
  <pageSetup paperSize="9" scale="48" orientation="portrait" verticalDpi="300" r:id="rId1"/>
  <headerFooter alignWithMargins="0">
    <oddFooter>&amp;LTariff Petition for determination of tariff for FY 2015-16, approval of estimate for 2014-15 and truing up for  FY 2012-13 to FY 2013-14 for RPH</oddFooter>
  </headerFooter>
  <colBreaks count="1" manualBreakCount="1">
    <brk id="15" max="1048575" man="1"/>
  </colBreaks>
</worksheet>
</file>

<file path=xl/worksheets/sheet26.xml><?xml version="1.0" encoding="utf-8"?>
<worksheet xmlns="http://schemas.openxmlformats.org/spreadsheetml/2006/main" xmlns:r="http://schemas.openxmlformats.org/officeDocument/2006/relationships">
  <sheetPr enableFormatConditionsCalculation="0">
    <tabColor indexed="50"/>
    <pageSetUpPr fitToPage="1"/>
  </sheetPr>
  <dimension ref="A1:G14"/>
  <sheetViews>
    <sheetView showGridLines="0" zoomScaleSheetLayoutView="80" workbookViewId="0">
      <selection activeCell="G18" sqref="G18"/>
    </sheetView>
  </sheetViews>
  <sheetFormatPr defaultRowHeight="15" customHeight="1"/>
  <cols>
    <col min="1" max="1" width="3.42578125" style="1" bestFit="1" customWidth="1"/>
    <col min="2" max="2" width="26.42578125" style="3" bestFit="1" customWidth="1"/>
    <col min="3" max="5" width="11.42578125" style="3" customWidth="1"/>
    <col min="6" max="6" width="9.140625" style="3"/>
    <col min="7" max="7" width="11.28515625" style="3" customWidth="1"/>
    <col min="8" max="16384" width="9.140625" style="1"/>
  </cols>
  <sheetData>
    <row r="1" spans="1:7" s="4" customFormat="1" ht="15" customHeight="1">
      <c r="A1" s="398"/>
      <c r="B1" s="398"/>
      <c r="C1" s="398"/>
      <c r="D1" s="398"/>
      <c r="E1" s="398"/>
      <c r="F1" s="398"/>
      <c r="G1" s="398"/>
    </row>
    <row r="2" spans="1:7" s="5" customFormat="1" ht="15" customHeight="1">
      <c r="A2" s="400" t="str">
        <f>Index!A2:C2</f>
        <v>Name of Company:</v>
      </c>
      <c r="B2" s="400"/>
      <c r="C2" s="401" t="str">
        <f>Index!D2</f>
        <v>INDRAPRASTHA POWER GENERATION COMPANY LIMITED</v>
      </c>
      <c r="D2" s="401"/>
      <c r="E2" s="401"/>
      <c r="F2" s="401"/>
      <c r="G2" s="401"/>
    </row>
    <row r="3" spans="1:7" s="2" customFormat="1" ht="15" customHeight="1">
      <c r="A3" s="400" t="str">
        <f>Index!A3:C3</f>
        <v>Name of Plant/  Station:</v>
      </c>
      <c r="B3" s="400"/>
      <c r="C3" s="401" t="str">
        <f>Index!D3</f>
        <v>Rajghat Power House</v>
      </c>
      <c r="D3" s="401"/>
      <c r="E3" s="401"/>
      <c r="F3" s="401"/>
      <c r="G3" s="401"/>
    </row>
    <row r="4" spans="1:7" ht="15" customHeight="1">
      <c r="A4" s="398"/>
      <c r="B4" s="398"/>
      <c r="C4" s="398"/>
      <c r="D4" s="398"/>
      <c r="E4" s="398"/>
      <c r="F4" s="398"/>
      <c r="G4" s="398"/>
    </row>
    <row r="5" spans="1:7" ht="15" customHeight="1">
      <c r="A5" s="402" t="str">
        <f>Index!D32</f>
        <v>Return on Equity</v>
      </c>
      <c r="B5" s="402"/>
      <c r="C5" s="402"/>
      <c r="D5" s="402"/>
      <c r="E5" s="402"/>
      <c r="F5" s="52" t="s">
        <v>156</v>
      </c>
      <c r="G5" s="52" t="str">
        <f>Index!C32</f>
        <v>F25</v>
      </c>
    </row>
    <row r="6" spans="1:7" ht="15" customHeight="1">
      <c r="A6" s="475"/>
      <c r="B6" s="475"/>
      <c r="C6" s="475"/>
      <c r="D6" s="475"/>
      <c r="E6" s="475"/>
      <c r="F6" s="475"/>
      <c r="G6" s="475"/>
    </row>
    <row r="7" spans="1:7" ht="15" customHeight="1">
      <c r="A7" s="396"/>
      <c r="B7" s="484" t="s">
        <v>35</v>
      </c>
      <c r="C7" s="397" t="s">
        <v>120</v>
      </c>
      <c r="D7" s="73" t="s">
        <v>165</v>
      </c>
      <c r="E7" s="73" t="s">
        <v>166</v>
      </c>
      <c r="F7" s="73" t="s">
        <v>167</v>
      </c>
      <c r="G7" s="73" t="s">
        <v>748</v>
      </c>
    </row>
    <row r="8" spans="1:7" ht="15" customHeight="1">
      <c r="A8" s="396"/>
      <c r="B8" s="485"/>
      <c r="C8" s="397"/>
      <c r="D8" s="31" t="s">
        <v>24</v>
      </c>
      <c r="E8" s="31" t="s">
        <v>24</v>
      </c>
      <c r="F8" s="31" t="s">
        <v>8</v>
      </c>
      <c r="G8" s="9" t="s">
        <v>45</v>
      </c>
    </row>
    <row r="9" spans="1:7" ht="15" customHeight="1">
      <c r="A9" s="64">
        <v>1</v>
      </c>
      <c r="B9" s="6" t="s">
        <v>128</v>
      </c>
      <c r="C9" s="63" t="s">
        <v>678</v>
      </c>
      <c r="D9" s="75">
        <f>'F23'!D28*0.3</f>
        <v>72.413849999999996</v>
      </c>
      <c r="E9" s="75">
        <f>D11</f>
        <v>73.670339999999996</v>
      </c>
      <c r="F9" s="75">
        <f>E11</f>
        <v>74.334209999999999</v>
      </c>
      <c r="G9" s="75">
        <f>F11</f>
        <v>74.372806139999994</v>
      </c>
    </row>
    <row r="10" spans="1:7" ht="15" customHeight="1">
      <c r="A10" s="64">
        <f>A9+1</f>
        <v>2</v>
      </c>
      <c r="B10" s="6" t="s">
        <v>129</v>
      </c>
      <c r="C10" s="63" t="s">
        <v>678</v>
      </c>
      <c r="D10" s="75">
        <f>('F23'!E28+'F23'!F28)*0.3</f>
        <v>1.2564900000000001</v>
      </c>
      <c r="E10" s="75">
        <f>('F23'!J28+'F23'!K28)*0.3</f>
        <v>0.66387000000000007</v>
      </c>
      <c r="F10" s="75">
        <f>('F23'!O28+'F23'!P28)*0.3</f>
        <v>3.8596139999999994E-2</v>
      </c>
      <c r="G10" s="75">
        <f>('F23'!T28+'F23'!U28)*0.3</f>
        <v>0</v>
      </c>
    </row>
    <row r="11" spans="1:7" ht="15" customHeight="1">
      <c r="A11" s="64">
        <f>A10+1</f>
        <v>3</v>
      </c>
      <c r="B11" s="6" t="s">
        <v>130</v>
      </c>
      <c r="C11" s="63" t="s">
        <v>678</v>
      </c>
      <c r="D11" s="75">
        <f>D9+D10</f>
        <v>73.670339999999996</v>
      </c>
      <c r="E11" s="75">
        <f>E9+E10</f>
        <v>74.334209999999999</v>
      </c>
      <c r="F11" s="75">
        <f>F9+F10</f>
        <v>74.372806139999994</v>
      </c>
      <c r="G11" s="75">
        <f>G9+G10</f>
        <v>74.372806139999994</v>
      </c>
    </row>
    <row r="12" spans="1:7" ht="15" customHeight="1">
      <c r="A12" s="64">
        <f>A11+1</f>
        <v>4</v>
      </c>
      <c r="B12" s="6" t="s">
        <v>149</v>
      </c>
      <c r="C12" s="63" t="s">
        <v>678</v>
      </c>
      <c r="D12" s="75">
        <f>(D9+D11)/2</f>
        <v>73.042094999999989</v>
      </c>
      <c r="E12" s="75">
        <f>(E9+E11)/2</f>
        <v>74.002274999999997</v>
      </c>
      <c r="F12" s="75">
        <f>(F9+F11)/2</f>
        <v>74.353508070000004</v>
      </c>
      <c r="G12" s="75">
        <f>(G9+G11)/2</f>
        <v>74.372806139999994</v>
      </c>
    </row>
    <row r="13" spans="1:7" ht="15" customHeight="1">
      <c r="A13" s="64">
        <f>A12+1</f>
        <v>5</v>
      </c>
      <c r="B13" s="6" t="s">
        <v>131</v>
      </c>
      <c r="C13" s="63" t="s">
        <v>23</v>
      </c>
      <c r="D13" s="236">
        <f>14/(1-0.32445)/100</f>
        <v>0.20723854636962474</v>
      </c>
      <c r="E13" s="236">
        <f>14/(1-0.3399)/100</f>
        <v>0.21208907741251323</v>
      </c>
      <c r="F13" s="236">
        <f>14/(1-0.3399)/100</f>
        <v>0.21208907741251323</v>
      </c>
      <c r="G13" s="236">
        <f>14/(1-0.3399)/100</f>
        <v>0.21208907741251323</v>
      </c>
    </row>
    <row r="14" spans="1:7" ht="15" customHeight="1">
      <c r="A14" s="64">
        <f>A13+1</f>
        <v>6</v>
      </c>
      <c r="B14" s="237" t="s">
        <v>131</v>
      </c>
      <c r="C14" s="61" t="s">
        <v>678</v>
      </c>
      <c r="D14" s="238">
        <f>D12*D13</f>
        <v>15.137137591592033</v>
      </c>
      <c r="E14" s="238">
        <f>E12*E13</f>
        <v>15.695074231177092</v>
      </c>
      <c r="F14" s="238">
        <f>F12*F13</f>
        <v>15.769566928950159</v>
      </c>
      <c r="G14" s="238">
        <f>G12*G13</f>
        <v>15.773659838812298</v>
      </c>
    </row>
  </sheetData>
  <mergeCells count="11">
    <mergeCell ref="A6:G6"/>
    <mergeCell ref="A7:A8"/>
    <mergeCell ref="B7:B8"/>
    <mergeCell ref="A5:E5"/>
    <mergeCell ref="C7:C8"/>
    <mergeCell ref="A4:G4"/>
    <mergeCell ref="A1:G1"/>
    <mergeCell ref="A2:B2"/>
    <mergeCell ref="C2:G2"/>
    <mergeCell ref="A3:B3"/>
    <mergeCell ref="C3:G3"/>
  </mergeCells>
  <phoneticPr fontId="0" type="noConversion"/>
  <pageMargins left="0.9" right="0.36" top="1" bottom="1" header="0.5" footer="0.5"/>
  <pageSetup paperSize="9" orientation="portrait" verticalDpi="300" r:id="rId1"/>
  <headerFooter alignWithMargins="0">
    <oddFooter>&amp;LTariff Petition for determination of tariff for FY 2015-16, approval of estimate for 2014-15 and truing up for  FY 2012-13 to FY 2013-14 for RPH</oddFooter>
  </headerFooter>
</worksheet>
</file>

<file path=xl/worksheets/sheet27.xml><?xml version="1.0" encoding="utf-8"?>
<worksheet xmlns="http://schemas.openxmlformats.org/spreadsheetml/2006/main" xmlns:r="http://schemas.openxmlformats.org/officeDocument/2006/relationships">
  <sheetPr>
    <tabColor theme="0"/>
    <pageSetUpPr fitToPage="1"/>
  </sheetPr>
  <dimension ref="A1:G27"/>
  <sheetViews>
    <sheetView showGridLines="0" zoomScaleSheetLayoutView="80" workbookViewId="0">
      <selection activeCell="G15" sqref="G15"/>
    </sheetView>
  </sheetViews>
  <sheetFormatPr defaultRowHeight="15" customHeight="1"/>
  <cols>
    <col min="1" max="1" width="3.42578125" style="1" bestFit="1" customWidth="1"/>
    <col min="2" max="2" width="60.7109375" style="3" bestFit="1" customWidth="1"/>
    <col min="3" max="3" width="11.28515625" style="3" bestFit="1" customWidth="1"/>
    <col min="4" max="5" width="11.28515625" style="3" customWidth="1"/>
    <col min="6" max="7" width="11.42578125" style="3" bestFit="1" customWidth="1"/>
    <col min="8" max="16384" width="9.140625" style="1"/>
  </cols>
  <sheetData>
    <row r="1" spans="1:7" s="4" customFormat="1" ht="15" customHeight="1">
      <c r="A1" s="398"/>
      <c r="B1" s="398"/>
      <c r="C1" s="398"/>
      <c r="D1" s="398"/>
      <c r="E1" s="398"/>
      <c r="F1" s="398"/>
      <c r="G1" s="398"/>
    </row>
    <row r="2" spans="1:7" s="5" customFormat="1" ht="15" customHeight="1">
      <c r="A2" s="400" t="str">
        <f>Index!A2:C2</f>
        <v>Name of Company:</v>
      </c>
      <c r="B2" s="400"/>
      <c r="C2" s="401" t="str">
        <f>Index!D2</f>
        <v>INDRAPRASTHA POWER GENERATION COMPANY LIMITED</v>
      </c>
      <c r="D2" s="401"/>
      <c r="E2" s="401"/>
      <c r="F2" s="401"/>
      <c r="G2" s="401"/>
    </row>
    <row r="3" spans="1:7" s="2" customFormat="1" ht="15" customHeight="1">
      <c r="A3" s="400" t="str">
        <f>Index!A3:C3</f>
        <v>Name of Plant/  Station:</v>
      </c>
      <c r="B3" s="400"/>
      <c r="C3" s="401" t="str">
        <f>Index!D3</f>
        <v>Rajghat Power House</v>
      </c>
      <c r="D3" s="401"/>
      <c r="E3" s="401"/>
      <c r="F3" s="401"/>
      <c r="G3" s="401"/>
    </row>
    <row r="4" spans="1:7" ht="15" customHeight="1">
      <c r="A4" s="398"/>
      <c r="B4" s="398"/>
      <c r="C4" s="398"/>
      <c r="D4" s="398"/>
      <c r="E4" s="398"/>
      <c r="F4" s="398"/>
      <c r="G4" s="398"/>
    </row>
    <row r="5" spans="1:7" ht="15" customHeight="1">
      <c r="A5" s="402" t="str">
        <f>Index!D33</f>
        <v>Working Capital Requirements</v>
      </c>
      <c r="B5" s="402"/>
      <c r="C5" s="402"/>
      <c r="D5" s="402"/>
      <c r="E5" s="402"/>
      <c r="F5" s="52" t="s">
        <v>156</v>
      </c>
      <c r="G5" s="52" t="str">
        <f>Index!C33</f>
        <v>F26</v>
      </c>
    </row>
    <row r="6" spans="1:7" ht="15" customHeight="1">
      <c r="A6" s="399"/>
      <c r="B6" s="399"/>
      <c r="C6" s="399"/>
      <c r="D6" s="399"/>
      <c r="E6" s="399"/>
      <c r="F6" s="399"/>
      <c r="G6" s="399"/>
    </row>
    <row r="7" spans="1:7" ht="15" customHeight="1">
      <c r="A7" s="396"/>
      <c r="B7" s="397" t="s">
        <v>35</v>
      </c>
      <c r="C7" s="397" t="s">
        <v>120</v>
      </c>
      <c r="D7" s="73" t="s">
        <v>165</v>
      </c>
      <c r="E7" s="73" t="s">
        <v>166</v>
      </c>
      <c r="F7" s="73" t="s">
        <v>167</v>
      </c>
      <c r="G7" s="73" t="s">
        <v>748</v>
      </c>
    </row>
    <row r="8" spans="1:7" ht="15" customHeight="1">
      <c r="A8" s="396"/>
      <c r="B8" s="397"/>
      <c r="C8" s="397"/>
      <c r="D8" s="31" t="s">
        <v>24</v>
      </c>
      <c r="E8" s="31" t="s">
        <v>24</v>
      </c>
      <c r="F8" s="31" t="s">
        <v>8</v>
      </c>
      <c r="G8" s="31" t="s">
        <v>45</v>
      </c>
    </row>
    <row r="9" spans="1:7" ht="15" customHeight="1">
      <c r="A9" s="31"/>
      <c r="B9" s="33" t="s">
        <v>281</v>
      </c>
      <c r="C9" s="67"/>
      <c r="D9" s="67"/>
      <c r="E9" s="67"/>
      <c r="F9" s="31"/>
      <c r="G9" s="31"/>
    </row>
    <row r="10" spans="1:7" ht="15" customHeight="1">
      <c r="A10" s="64">
        <v>1</v>
      </c>
      <c r="B10" s="6" t="s">
        <v>687</v>
      </c>
      <c r="C10" s="63" t="s">
        <v>678</v>
      </c>
      <c r="D10" s="75">
        <f>'F4 '!D42/6</f>
        <v>37.003333333333337</v>
      </c>
      <c r="E10" s="75">
        <f>'F4 '!E42/6</f>
        <v>19.256666666666668</v>
      </c>
      <c r="F10" s="75">
        <f>'F4 '!F42/6</f>
        <v>45.376297008974625</v>
      </c>
      <c r="G10" s="75">
        <f>'F4 '!G42/6</f>
        <v>45.500615630917004</v>
      </c>
    </row>
    <row r="11" spans="1:7" ht="15" customHeight="1">
      <c r="A11" s="64">
        <f>A10+1</f>
        <v>2</v>
      </c>
      <c r="B11" s="6" t="s">
        <v>119</v>
      </c>
      <c r="C11" s="63" t="s">
        <v>678</v>
      </c>
      <c r="D11" s="75">
        <f>'F4 '!D44/6</f>
        <v>2.1766666666666667</v>
      </c>
      <c r="E11" s="75">
        <f>'F4 '!E44/6</f>
        <v>2.2399999999999998</v>
      </c>
      <c r="F11" s="75">
        <f>'F4 '!F44/6</f>
        <v>5.2985820000000006</v>
      </c>
      <c r="G11" s="75">
        <f>'F4 '!G44/6</f>
        <v>5.3130999999999995</v>
      </c>
    </row>
    <row r="12" spans="1:7" ht="15" customHeight="1">
      <c r="A12" s="64">
        <f>A11+1</f>
        <v>3</v>
      </c>
      <c r="B12" s="6" t="s">
        <v>280</v>
      </c>
      <c r="C12" s="63" t="s">
        <v>678</v>
      </c>
      <c r="D12" s="75">
        <f>('F1'!D15)*0.2</f>
        <v>14.7337520074</v>
      </c>
      <c r="E12" s="75">
        <f>('F1'!E15)*0.2</f>
        <v>14.537200000000002</v>
      </c>
      <c r="F12" s="75">
        <f>('F1'!F15)*0.2</f>
        <v>15.242240000000002</v>
      </c>
      <c r="G12" s="75">
        <f>('F1'!G15)*0.2</f>
        <v>16.539351980000003</v>
      </c>
    </row>
    <row r="13" spans="1:7" ht="15" customHeight="1">
      <c r="A13" s="64">
        <f>A12+1</f>
        <v>4</v>
      </c>
      <c r="B13" s="93" t="s">
        <v>138</v>
      </c>
      <c r="C13" s="63" t="s">
        <v>678</v>
      </c>
      <c r="D13" s="75">
        <f>'F1'!D15/12</f>
        <v>6.1390633364166662</v>
      </c>
      <c r="E13" s="75">
        <f>'F1'!E15/12</f>
        <v>6.0571666666666673</v>
      </c>
      <c r="F13" s="75">
        <f>'F1'!F15/12</f>
        <v>6.3509333333333338</v>
      </c>
      <c r="G13" s="75">
        <f>'F1'!G15/12</f>
        <v>6.8913966583333339</v>
      </c>
    </row>
    <row r="14" spans="1:7" ht="15" customHeight="1">
      <c r="A14" s="64">
        <f>A13+1</f>
        <v>5</v>
      </c>
      <c r="B14" s="93" t="s">
        <v>282</v>
      </c>
      <c r="C14" s="63" t="s">
        <v>678</v>
      </c>
      <c r="D14" s="63">
        <v>60.88</v>
      </c>
      <c r="E14" s="63">
        <v>42.28</v>
      </c>
      <c r="F14" s="91">
        <v>73.400000000000006</v>
      </c>
      <c r="G14" s="298">
        <v>74.69</v>
      </c>
    </row>
    <row r="15" spans="1:7" s="101" customFormat="1" ht="15" customHeight="1">
      <c r="A15" s="94"/>
      <c r="B15" s="92" t="s">
        <v>139</v>
      </c>
      <c r="C15" s="63" t="s">
        <v>678</v>
      </c>
      <c r="D15" s="75">
        <f>SUM(D10:D14)</f>
        <v>120.93281534381669</v>
      </c>
      <c r="E15" s="75">
        <f>SUM(E10:E14)</f>
        <v>84.371033333333344</v>
      </c>
      <c r="F15" s="75">
        <f>SUM(F10:F14)</f>
        <v>145.66805234230796</v>
      </c>
      <c r="G15" s="75">
        <f>SUM(G10:G14)</f>
        <v>148.93446426925033</v>
      </c>
    </row>
    <row r="16" spans="1:7" ht="15" customHeight="1">
      <c r="A16" s="90"/>
      <c r="B16" s="93" t="s">
        <v>36</v>
      </c>
      <c r="C16" s="93" t="s">
        <v>23</v>
      </c>
      <c r="D16" s="239">
        <v>0.13500000000000001</v>
      </c>
      <c r="E16" s="239">
        <v>0.13500000000000001</v>
      </c>
      <c r="F16" s="239">
        <v>0.13500000000000001</v>
      </c>
      <c r="G16" s="239">
        <v>0.13500000000000001</v>
      </c>
    </row>
    <row r="17" spans="1:7" s="101" customFormat="1" ht="15" customHeight="1">
      <c r="A17" s="94"/>
      <c r="B17" s="92" t="s">
        <v>140</v>
      </c>
      <c r="C17" s="61" t="s">
        <v>678</v>
      </c>
      <c r="D17" s="238">
        <f>D15*D16</f>
        <v>16.325930071415254</v>
      </c>
      <c r="E17" s="238">
        <f>E15*E16</f>
        <v>11.390089500000002</v>
      </c>
      <c r="F17" s="238">
        <f>F15*F16</f>
        <v>19.665187066211576</v>
      </c>
      <c r="G17" s="238">
        <f>G15*G16</f>
        <v>20.106152676348795</v>
      </c>
    </row>
    <row r="18" spans="1:7" ht="15" customHeight="1">
      <c r="A18" s="487"/>
      <c r="B18" s="488"/>
      <c r="C18" s="488"/>
      <c r="D18" s="488"/>
      <c r="E18" s="488"/>
      <c r="F18" s="488"/>
      <c r="G18" s="488"/>
    </row>
    <row r="19" spans="1:7" ht="29.25" hidden="1" customHeight="1">
      <c r="A19" s="31"/>
      <c r="B19" s="33" t="s">
        <v>286</v>
      </c>
      <c r="C19" s="67"/>
      <c r="D19" s="240"/>
      <c r="E19" s="67"/>
      <c r="F19" s="31"/>
      <c r="G19" s="31"/>
    </row>
    <row r="20" spans="1:7" ht="15" hidden="1" customHeight="1">
      <c r="A20" s="64">
        <v>1</v>
      </c>
      <c r="B20" s="6" t="s">
        <v>283</v>
      </c>
      <c r="C20" s="63" t="s">
        <v>678</v>
      </c>
      <c r="D20" s="63"/>
      <c r="E20" s="63"/>
      <c r="F20" s="63"/>
      <c r="G20" s="63"/>
    </row>
    <row r="21" spans="1:7" ht="15" hidden="1" customHeight="1">
      <c r="A21" s="64">
        <f>A20+1</f>
        <v>2</v>
      </c>
      <c r="B21" s="6" t="s">
        <v>284</v>
      </c>
      <c r="C21" s="63" t="s">
        <v>678</v>
      </c>
      <c r="D21" s="63"/>
      <c r="E21" s="63"/>
      <c r="F21" s="63"/>
      <c r="G21" s="63"/>
    </row>
    <row r="22" spans="1:7" ht="15" hidden="1" customHeight="1">
      <c r="A22" s="64">
        <f>A21+1</f>
        <v>3</v>
      </c>
      <c r="B22" s="6" t="s">
        <v>285</v>
      </c>
      <c r="C22" s="63" t="s">
        <v>678</v>
      </c>
      <c r="D22" s="63"/>
      <c r="E22" s="63"/>
      <c r="F22" s="63"/>
      <c r="G22" s="63"/>
    </row>
    <row r="23" spans="1:7" ht="15" hidden="1" customHeight="1">
      <c r="A23" s="64">
        <f>A22+1</f>
        <v>4</v>
      </c>
      <c r="B23" s="93" t="s">
        <v>138</v>
      </c>
      <c r="C23" s="63" t="s">
        <v>678</v>
      </c>
      <c r="D23" s="63"/>
      <c r="E23" s="63"/>
      <c r="F23" s="63"/>
      <c r="G23" s="63"/>
    </row>
    <row r="24" spans="1:7" ht="15" hidden="1" customHeight="1">
      <c r="A24" s="64">
        <f>A23+1</f>
        <v>5</v>
      </c>
      <c r="B24" s="93" t="s">
        <v>282</v>
      </c>
      <c r="C24" s="63" t="s">
        <v>678</v>
      </c>
      <c r="D24" s="63"/>
      <c r="E24" s="63"/>
      <c r="F24" s="91"/>
      <c r="G24" s="91"/>
    </row>
    <row r="25" spans="1:7" ht="15" hidden="1" customHeight="1">
      <c r="A25" s="94"/>
      <c r="B25" s="92" t="s">
        <v>139</v>
      </c>
      <c r="C25" s="63" t="s">
        <v>678</v>
      </c>
      <c r="D25" s="63"/>
      <c r="E25" s="63"/>
      <c r="F25" s="92"/>
      <c r="G25" s="92"/>
    </row>
    <row r="26" spans="1:7" ht="15" hidden="1" customHeight="1">
      <c r="A26" s="90"/>
      <c r="B26" s="93" t="s">
        <v>36</v>
      </c>
      <c r="C26" s="93" t="s">
        <v>23</v>
      </c>
      <c r="D26" s="93"/>
      <c r="E26" s="93"/>
      <c r="F26" s="91"/>
      <c r="G26" s="91"/>
    </row>
    <row r="27" spans="1:7" ht="15" hidden="1" customHeight="1">
      <c r="A27" s="94"/>
      <c r="B27" s="92" t="s">
        <v>140</v>
      </c>
      <c r="C27" s="61" t="s">
        <v>678</v>
      </c>
      <c r="D27" s="61"/>
      <c r="E27" s="61"/>
      <c r="F27" s="92"/>
      <c r="G27" s="92"/>
    </row>
  </sheetData>
  <mergeCells count="12">
    <mergeCell ref="A5:E5"/>
    <mergeCell ref="A18:G18"/>
    <mergeCell ref="A6:G6"/>
    <mergeCell ref="A7:A8"/>
    <mergeCell ref="B7:B8"/>
    <mergeCell ref="C7:C8"/>
    <mergeCell ref="A4:G4"/>
    <mergeCell ref="A1:G1"/>
    <mergeCell ref="A2:B2"/>
    <mergeCell ref="C2:G2"/>
    <mergeCell ref="A3:B3"/>
    <mergeCell ref="C3:G3"/>
  </mergeCells>
  <phoneticPr fontId="0" type="noConversion"/>
  <pageMargins left="0.9" right="0.36" top="1" bottom="1" header="0.5" footer="0.5"/>
  <pageSetup paperSize="9" scale="75" orientation="portrait" horizontalDpi="300" verticalDpi="300" r:id="rId1"/>
  <headerFooter alignWithMargins="0">
    <oddFooter>&amp;LTariff Petition for determination of tariff for FY 2015-16, approval of estimate for 2014-15 and truing up for  FY 2012-13 to FY 2013-14 for RPH</oddFooter>
  </headerFooter>
</worksheet>
</file>

<file path=xl/worksheets/sheet28.xml><?xml version="1.0" encoding="utf-8"?>
<worksheet xmlns="http://schemas.openxmlformats.org/spreadsheetml/2006/main" xmlns:r="http://schemas.openxmlformats.org/officeDocument/2006/relationships">
  <sheetPr>
    <tabColor rgb="FFFF0000"/>
    <pageSetUpPr fitToPage="1"/>
  </sheetPr>
  <dimension ref="A1:J26"/>
  <sheetViews>
    <sheetView showGridLines="0" topLeftCell="A19" zoomScaleSheetLayoutView="80" workbookViewId="0">
      <selection activeCell="B35" sqref="B35"/>
    </sheetView>
  </sheetViews>
  <sheetFormatPr defaultRowHeight="15" customHeight="1"/>
  <cols>
    <col min="1" max="1" width="3.42578125" style="1" bestFit="1" customWidth="1"/>
    <col min="2" max="2" width="67.85546875" style="3" bestFit="1" customWidth="1"/>
    <col min="3" max="3" width="14.42578125" style="103" customWidth="1"/>
    <col min="4" max="4" width="14.42578125" style="3" customWidth="1"/>
    <col min="5" max="5" width="18" style="1" customWidth="1"/>
    <col min="6" max="6" width="14.42578125" style="1" customWidth="1"/>
    <col min="7" max="7" width="9.28515625" style="1" bestFit="1" customWidth="1"/>
    <col min="8" max="8" width="8.85546875" style="1" bestFit="1" customWidth="1"/>
    <col min="9" max="9" width="9" style="1" customWidth="1"/>
    <col min="10" max="16384" width="9.140625" style="1"/>
  </cols>
  <sheetData>
    <row r="1" spans="1:10" s="4" customFormat="1" ht="15" customHeight="1">
      <c r="A1" s="105"/>
      <c r="B1" s="105"/>
      <c r="C1" s="105"/>
      <c r="D1" s="105"/>
      <c r="E1" s="105"/>
      <c r="F1" s="105"/>
      <c r="G1" s="105"/>
      <c r="H1" s="105"/>
      <c r="I1" s="105"/>
    </row>
    <row r="2" spans="1:10" s="5" customFormat="1" ht="15" customHeight="1">
      <c r="A2" s="400" t="str">
        <f>Index!A2:C2</f>
        <v>Name of Company:</v>
      </c>
      <c r="B2" s="400"/>
      <c r="C2" s="401" t="str">
        <f>Index!D2</f>
        <v>INDRAPRASTHA POWER GENERATION COMPANY LIMITED</v>
      </c>
      <c r="D2" s="401"/>
      <c r="E2" s="401"/>
      <c r="F2" s="401"/>
      <c r="G2" s="106"/>
      <c r="H2" s="106"/>
      <c r="I2" s="106"/>
      <c r="J2" s="8"/>
    </row>
    <row r="3" spans="1:10" s="2" customFormat="1" ht="15" customHeight="1">
      <c r="A3" s="400" t="str">
        <f>Index!A3:C3</f>
        <v>Name of Plant/  Station:</v>
      </c>
      <c r="B3" s="400"/>
      <c r="C3" s="401" t="str">
        <f>Index!D3</f>
        <v>Rajghat Power House</v>
      </c>
      <c r="D3" s="401"/>
      <c r="E3" s="401"/>
      <c r="F3" s="401"/>
      <c r="G3" s="106"/>
      <c r="H3" s="106"/>
      <c r="I3" s="106"/>
    </row>
    <row r="4" spans="1:10" ht="15" customHeight="1">
      <c r="A4" s="105"/>
      <c r="B4" s="105"/>
      <c r="C4" s="105"/>
      <c r="D4" s="105"/>
      <c r="E4" s="105"/>
      <c r="F4" s="105"/>
      <c r="G4" s="105"/>
      <c r="H4" s="105"/>
      <c r="I4" s="105"/>
    </row>
    <row r="5" spans="1:10" ht="15" customHeight="1">
      <c r="A5" s="402" t="str">
        <f>Index!D34</f>
        <v>Information in respect of fuel for computation of Energy Charges</v>
      </c>
      <c r="B5" s="402"/>
      <c r="C5" s="402"/>
      <c r="D5" s="402"/>
      <c r="E5" s="52" t="s">
        <v>156</v>
      </c>
      <c r="F5" s="53" t="str">
        <f>Index!C34</f>
        <v>F27</v>
      </c>
      <c r="G5" s="52"/>
    </row>
    <row r="6" spans="1:10" ht="15" customHeight="1">
      <c r="A6" s="107"/>
      <c r="B6" s="107"/>
      <c r="C6" s="107"/>
      <c r="D6" s="107"/>
      <c r="E6" s="107"/>
      <c r="F6" s="20" t="s">
        <v>719</v>
      </c>
      <c r="G6" s="107"/>
      <c r="H6" s="107"/>
      <c r="I6" s="23"/>
    </row>
    <row r="7" spans="1:10" ht="19.5" customHeight="1">
      <c r="A7" s="31"/>
      <c r="B7" s="67" t="s">
        <v>18</v>
      </c>
      <c r="C7" s="67" t="s">
        <v>120</v>
      </c>
      <c r="D7" s="294" t="s">
        <v>756</v>
      </c>
      <c r="E7" s="294" t="s">
        <v>757</v>
      </c>
      <c r="F7" s="294" t="s">
        <v>758</v>
      </c>
    </row>
    <row r="8" spans="1:10" ht="15" customHeight="1">
      <c r="A8" s="63">
        <v>1</v>
      </c>
      <c r="B8" s="63" t="s">
        <v>289</v>
      </c>
      <c r="C8" s="64" t="s">
        <v>235</v>
      </c>
      <c r="D8" s="63">
        <v>55499.16</v>
      </c>
      <c r="E8" s="63">
        <v>45288.27</v>
      </c>
      <c r="F8" s="63">
        <v>48629.24</v>
      </c>
    </row>
    <row r="9" spans="1:10" ht="15" customHeight="1">
      <c r="A9" s="63">
        <f>A8+1</f>
        <v>2</v>
      </c>
      <c r="B9" s="63" t="s">
        <v>291</v>
      </c>
      <c r="C9" s="64" t="s">
        <v>235</v>
      </c>
      <c r="D9" s="63"/>
      <c r="E9" s="63"/>
      <c r="F9" s="63"/>
    </row>
    <row r="10" spans="1:10" ht="15" customHeight="1">
      <c r="A10" s="63">
        <f>A9+1</f>
        <v>3</v>
      </c>
      <c r="B10" s="63" t="s">
        <v>290</v>
      </c>
      <c r="C10" s="64" t="s">
        <v>235</v>
      </c>
      <c r="D10" s="63"/>
      <c r="E10" s="63"/>
      <c r="F10" s="63"/>
    </row>
    <row r="11" spans="1:10" ht="15" customHeight="1">
      <c r="A11" s="63">
        <f t="shared" ref="A11:A22" si="0">A10+1</f>
        <v>4</v>
      </c>
      <c r="B11" s="63" t="s">
        <v>292</v>
      </c>
      <c r="C11" s="64" t="s">
        <v>235</v>
      </c>
      <c r="D11" s="63"/>
      <c r="E11" s="63"/>
      <c r="F11" s="63"/>
    </row>
    <row r="12" spans="1:10" ht="15" customHeight="1">
      <c r="A12" s="63">
        <f t="shared" si="0"/>
        <v>5</v>
      </c>
      <c r="B12" s="63" t="s">
        <v>293</v>
      </c>
      <c r="C12" s="64" t="s">
        <v>235</v>
      </c>
      <c r="D12" s="63">
        <f>D8</f>
        <v>55499.16</v>
      </c>
      <c r="E12" s="63">
        <f>E8</f>
        <v>45288.27</v>
      </c>
      <c r="F12" s="63">
        <f>F8</f>
        <v>48629.24</v>
      </c>
    </row>
    <row r="13" spans="1:10" ht="15" customHeight="1">
      <c r="A13" s="63">
        <f t="shared" si="0"/>
        <v>6</v>
      </c>
      <c r="B13" s="63" t="s">
        <v>294</v>
      </c>
      <c r="C13" s="64" t="s">
        <v>678</v>
      </c>
      <c r="D13" s="75">
        <f>189388524.03994/10000000</f>
        <v>18.938852403994002</v>
      </c>
      <c r="E13" s="75">
        <f>156572754.954819/10000000</f>
        <v>15.657275495481899</v>
      </c>
      <c r="F13" s="75">
        <f>167745866.435241/10000000</f>
        <v>16.774586643524103</v>
      </c>
    </row>
    <row r="14" spans="1:10" ht="15" customHeight="1">
      <c r="A14" s="63">
        <f t="shared" si="0"/>
        <v>7</v>
      </c>
      <c r="B14" s="63" t="s">
        <v>295</v>
      </c>
      <c r="C14" s="64" t="s">
        <v>678</v>
      </c>
      <c r="D14" s="63"/>
      <c r="E14" s="63"/>
      <c r="F14" s="63"/>
    </row>
    <row r="15" spans="1:10" ht="15" customHeight="1">
      <c r="A15" s="63">
        <f t="shared" si="0"/>
        <v>8</v>
      </c>
      <c r="B15" s="63" t="s">
        <v>296</v>
      </c>
      <c r="C15" s="64" t="s">
        <v>678</v>
      </c>
      <c r="D15" s="63"/>
      <c r="E15" s="63"/>
      <c r="F15" s="63"/>
    </row>
    <row r="16" spans="1:10" ht="15" customHeight="1">
      <c r="A16" s="63">
        <f t="shared" si="0"/>
        <v>9</v>
      </c>
      <c r="B16" s="63" t="s">
        <v>297</v>
      </c>
      <c r="C16" s="64" t="s">
        <v>678</v>
      </c>
      <c r="D16" s="63"/>
      <c r="E16" s="63"/>
      <c r="F16" s="63"/>
    </row>
    <row r="17" spans="1:6" ht="15" customHeight="1">
      <c r="A17" s="63">
        <f t="shared" si="0"/>
        <v>10</v>
      </c>
      <c r="B17" s="63" t="s">
        <v>298</v>
      </c>
      <c r="C17" s="64" t="s">
        <v>678</v>
      </c>
      <c r="D17" s="61"/>
      <c r="E17" s="61"/>
      <c r="F17" s="61"/>
    </row>
    <row r="18" spans="1:6" ht="15" customHeight="1">
      <c r="A18" s="63">
        <f t="shared" si="0"/>
        <v>11</v>
      </c>
      <c r="B18" s="93" t="s">
        <v>299</v>
      </c>
      <c r="C18" s="64" t="s">
        <v>678</v>
      </c>
      <c r="D18" s="91"/>
      <c r="E18" s="91"/>
      <c r="F18" s="90"/>
    </row>
    <row r="19" spans="1:6" ht="15" customHeight="1">
      <c r="A19" s="63">
        <f t="shared" si="0"/>
        <v>12</v>
      </c>
      <c r="B19" s="93" t="s">
        <v>300</v>
      </c>
      <c r="C19" s="64" t="s">
        <v>678</v>
      </c>
      <c r="D19" s="91"/>
      <c r="E19" s="91"/>
      <c r="F19" s="90"/>
    </row>
    <row r="20" spans="1:6" ht="15" customHeight="1">
      <c r="A20" s="63">
        <f t="shared" si="0"/>
        <v>13</v>
      </c>
      <c r="B20" s="93" t="s">
        <v>301</v>
      </c>
      <c r="C20" s="64" t="s">
        <v>678</v>
      </c>
      <c r="D20" s="91"/>
      <c r="E20" s="91"/>
      <c r="F20" s="90"/>
    </row>
    <row r="21" spans="1:6" ht="15" customHeight="1">
      <c r="A21" s="63">
        <f t="shared" si="0"/>
        <v>14</v>
      </c>
      <c r="B21" s="93" t="s">
        <v>302</v>
      </c>
      <c r="C21" s="64" t="s">
        <v>678</v>
      </c>
      <c r="D21" s="358">
        <f>D13</f>
        <v>18.938852403994002</v>
      </c>
      <c r="E21" s="358">
        <f>E13</f>
        <v>15.657275495481899</v>
      </c>
      <c r="F21" s="358">
        <f>F13</f>
        <v>16.774586643524103</v>
      </c>
    </row>
    <row r="22" spans="1:6" ht="15" customHeight="1">
      <c r="A22" s="63">
        <f t="shared" si="0"/>
        <v>15</v>
      </c>
      <c r="B22" s="93" t="s">
        <v>303</v>
      </c>
      <c r="C22" s="104" t="s">
        <v>234</v>
      </c>
      <c r="D22" s="91">
        <v>3675</v>
      </c>
      <c r="E22" s="90">
        <v>3664</v>
      </c>
      <c r="F22" s="90">
        <v>3679</v>
      </c>
    </row>
    <row r="25" spans="1:6" ht="28.5" customHeight="1">
      <c r="B25" s="407" t="s">
        <v>304</v>
      </c>
      <c r="C25" s="407"/>
      <c r="D25" s="407"/>
      <c r="E25" s="407"/>
      <c r="F25" s="407"/>
    </row>
    <row r="26" spans="1:6" ht="28.5" customHeight="1">
      <c r="B26" s="357"/>
      <c r="C26" s="357"/>
      <c r="D26" s="357"/>
      <c r="E26" s="409" t="s">
        <v>208</v>
      </c>
      <c r="F26" s="409"/>
    </row>
  </sheetData>
  <mergeCells count="7">
    <mergeCell ref="A5:D5"/>
    <mergeCell ref="B25:F25"/>
    <mergeCell ref="A2:B2"/>
    <mergeCell ref="A3:B3"/>
    <mergeCell ref="C2:F2"/>
    <mergeCell ref="C3:F3"/>
    <mergeCell ref="E26:F26"/>
  </mergeCells>
  <phoneticPr fontId="0" type="noConversion"/>
  <pageMargins left="0.9" right="0.36" top="1" bottom="1" header="0.5" footer="0.5"/>
  <pageSetup paperSize="9" scale="68" orientation="portrait" r:id="rId1"/>
  <headerFooter alignWithMargins="0">
    <oddFooter>&amp;LTariff Petition for determination of tariff for FY 2015-16, approval of estimate for 2014-15 and truing up for  FY 2012-13 to FY 2013-14 for RPH</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I27"/>
  <sheetViews>
    <sheetView showGridLines="0" topLeftCell="A19" zoomScaleSheetLayoutView="80" workbookViewId="0">
      <selection activeCell="I9" sqref="I9"/>
    </sheetView>
  </sheetViews>
  <sheetFormatPr defaultRowHeight="15" customHeight="1"/>
  <cols>
    <col min="1" max="1" width="3.42578125" style="1" bestFit="1" customWidth="1"/>
    <col min="2" max="2" width="67.85546875" style="3" bestFit="1" customWidth="1"/>
    <col min="3" max="3" width="15.42578125" style="103" customWidth="1"/>
    <col min="4" max="4" width="15.42578125" style="3" customWidth="1"/>
    <col min="5" max="6" width="15.42578125" style="1" customWidth="1"/>
    <col min="7" max="7" width="8.85546875" style="1" bestFit="1" customWidth="1"/>
    <col min="8" max="8" width="9" style="1" customWidth="1"/>
    <col min="9" max="16384" width="9.140625" style="1"/>
  </cols>
  <sheetData>
    <row r="1" spans="1:9" s="4" customFormat="1" ht="15" customHeight="1">
      <c r="A1" s="105"/>
      <c r="B1" s="105"/>
      <c r="C1" s="105"/>
      <c r="D1" s="105"/>
      <c r="E1" s="105"/>
      <c r="F1" s="105"/>
      <c r="G1" s="105"/>
      <c r="H1" s="105"/>
    </row>
    <row r="2" spans="1:9" s="5" customFormat="1" ht="15" customHeight="1">
      <c r="A2" s="400" t="str">
        <f>Index!A2:C2</f>
        <v>Name of Company:</v>
      </c>
      <c r="B2" s="400"/>
      <c r="C2" s="401" t="str">
        <f>Index!D2</f>
        <v>INDRAPRASTHA POWER GENERATION COMPANY LIMITED</v>
      </c>
      <c r="D2" s="401"/>
      <c r="E2" s="401"/>
      <c r="F2" s="401"/>
      <c r="G2" s="386"/>
      <c r="H2" s="386"/>
      <c r="I2" s="387"/>
    </row>
    <row r="3" spans="1:9" s="2" customFormat="1" ht="15" customHeight="1">
      <c r="A3" s="400" t="str">
        <f>Index!A3:C3</f>
        <v>Name of Plant/  Station:</v>
      </c>
      <c r="B3" s="400"/>
      <c r="C3" s="401" t="str">
        <f>Index!D3</f>
        <v>Rajghat Power House</v>
      </c>
      <c r="D3" s="401"/>
      <c r="E3" s="401"/>
      <c r="F3" s="401"/>
      <c r="G3" s="386"/>
      <c r="H3" s="386"/>
      <c r="I3" s="388"/>
    </row>
    <row r="4" spans="1:9" ht="15" customHeight="1">
      <c r="A4" s="105"/>
      <c r="B4" s="105"/>
      <c r="C4" s="105"/>
      <c r="D4" s="105"/>
      <c r="E4" s="105"/>
      <c r="F4" s="72" t="s">
        <v>729</v>
      </c>
      <c r="G4" s="105"/>
      <c r="H4" s="105"/>
    </row>
    <row r="5" spans="1:9" ht="15" customHeight="1">
      <c r="A5" s="402" t="str">
        <f>Index!D34</f>
        <v>Information in respect of fuel for computation of Energy Charges</v>
      </c>
      <c r="B5" s="402"/>
      <c r="C5" s="402"/>
      <c r="D5" s="402"/>
      <c r="E5" s="52" t="s">
        <v>156</v>
      </c>
      <c r="F5" s="53" t="str">
        <f>Index!C34</f>
        <v>F27</v>
      </c>
    </row>
    <row r="6" spans="1:9" ht="15" customHeight="1">
      <c r="A6" s="107"/>
      <c r="B6" s="107"/>
      <c r="C6" s="107"/>
      <c r="D6" s="107"/>
      <c r="E6" s="107"/>
      <c r="F6" s="107"/>
      <c r="G6" s="107"/>
      <c r="H6" s="23"/>
    </row>
    <row r="7" spans="1:9" ht="19.5" customHeight="1">
      <c r="A7" s="31"/>
      <c r="B7" s="67" t="s">
        <v>18</v>
      </c>
      <c r="C7" s="67" t="s">
        <v>120</v>
      </c>
      <c r="D7" s="294" t="s">
        <v>756</v>
      </c>
      <c r="E7" s="294" t="s">
        <v>757</v>
      </c>
      <c r="F7" s="294" t="s">
        <v>758</v>
      </c>
    </row>
    <row r="8" spans="1:9" ht="15" customHeight="1">
      <c r="A8" s="63">
        <v>1</v>
      </c>
      <c r="B8" s="63" t="s">
        <v>731</v>
      </c>
      <c r="C8" s="64" t="s">
        <v>727</v>
      </c>
      <c r="D8" s="63">
        <v>208</v>
      </c>
      <c r="E8" s="63">
        <v>200</v>
      </c>
      <c r="F8" s="63">
        <v>248</v>
      </c>
    </row>
    <row r="9" spans="1:9" ht="15" customHeight="1">
      <c r="A9" s="63">
        <f t="shared" ref="A9:A22" si="0">A8+1</f>
        <v>2</v>
      </c>
      <c r="B9" s="63" t="s">
        <v>732</v>
      </c>
      <c r="C9" s="64" t="s">
        <v>727</v>
      </c>
      <c r="D9" s="63"/>
      <c r="E9" s="63"/>
      <c r="F9" s="63"/>
    </row>
    <row r="10" spans="1:9" ht="15" customHeight="1">
      <c r="A10" s="63">
        <f t="shared" si="0"/>
        <v>3</v>
      </c>
      <c r="B10" s="63" t="s">
        <v>734</v>
      </c>
      <c r="C10" s="64" t="s">
        <v>727</v>
      </c>
      <c r="D10" s="63">
        <f>SUM(D8:D9)</f>
        <v>208</v>
      </c>
      <c r="E10" s="63">
        <f>SUM(E8:E9)</f>
        <v>200</v>
      </c>
      <c r="F10" s="63">
        <f>SUM(F8:F9)</f>
        <v>248</v>
      </c>
    </row>
    <row r="11" spans="1:9" ht="15" customHeight="1">
      <c r="A11" s="63">
        <f t="shared" si="0"/>
        <v>4</v>
      </c>
      <c r="B11" s="63" t="s">
        <v>292</v>
      </c>
      <c r="C11" s="64" t="s">
        <v>727</v>
      </c>
      <c r="D11" s="63"/>
      <c r="E11" s="63"/>
      <c r="F11" s="63"/>
    </row>
    <row r="12" spans="1:9" ht="15" customHeight="1">
      <c r="A12" s="63">
        <f t="shared" si="0"/>
        <v>5</v>
      </c>
      <c r="B12" s="63" t="s">
        <v>733</v>
      </c>
      <c r="C12" s="64" t="s">
        <v>727</v>
      </c>
      <c r="D12" s="63">
        <f>SUM(D10:D11)</f>
        <v>208</v>
      </c>
      <c r="E12" s="63">
        <f>SUM(E10:E11)</f>
        <v>200</v>
      </c>
      <c r="F12" s="63">
        <f>SUM(F10:F11)</f>
        <v>248</v>
      </c>
    </row>
    <row r="13" spans="1:9" ht="15" customHeight="1">
      <c r="A13" s="63">
        <f t="shared" si="0"/>
        <v>6</v>
      </c>
      <c r="B13" s="63" t="s">
        <v>735</v>
      </c>
      <c r="C13" s="63" t="s">
        <v>678</v>
      </c>
      <c r="D13" s="63"/>
      <c r="E13" s="63"/>
      <c r="F13" s="63"/>
    </row>
    <row r="14" spans="1:9" ht="15" customHeight="1">
      <c r="A14" s="63">
        <f t="shared" si="0"/>
        <v>7</v>
      </c>
      <c r="B14" s="63" t="s">
        <v>736</v>
      </c>
      <c r="C14" s="63" t="s">
        <v>678</v>
      </c>
      <c r="D14" s="63"/>
      <c r="E14" s="63"/>
      <c r="F14" s="63"/>
    </row>
    <row r="15" spans="1:9" ht="15" customHeight="1">
      <c r="A15" s="63">
        <f t="shared" si="0"/>
        <v>8</v>
      </c>
      <c r="B15" s="63" t="s">
        <v>296</v>
      </c>
      <c r="C15" s="63" t="s">
        <v>678</v>
      </c>
      <c r="D15" s="63"/>
      <c r="E15" s="63"/>
      <c r="F15" s="63"/>
    </row>
    <row r="16" spans="1:9" ht="15" customHeight="1">
      <c r="A16" s="63">
        <f t="shared" si="0"/>
        <v>9</v>
      </c>
      <c r="B16" s="63" t="s">
        <v>297</v>
      </c>
      <c r="C16" s="63" t="s">
        <v>678</v>
      </c>
      <c r="D16" s="63"/>
      <c r="E16" s="63"/>
      <c r="F16" s="63"/>
    </row>
    <row r="17" spans="1:6" ht="15" customHeight="1">
      <c r="A17" s="63">
        <f t="shared" si="0"/>
        <v>10</v>
      </c>
      <c r="B17" s="63" t="s">
        <v>298</v>
      </c>
      <c r="C17" s="63" t="s">
        <v>678</v>
      </c>
      <c r="D17" s="61"/>
      <c r="E17" s="61"/>
      <c r="F17" s="61"/>
    </row>
    <row r="18" spans="1:6" ht="15" customHeight="1">
      <c r="A18" s="63">
        <f t="shared" si="0"/>
        <v>11</v>
      </c>
      <c r="B18" s="93" t="s">
        <v>299</v>
      </c>
      <c r="C18" s="63" t="s">
        <v>678</v>
      </c>
      <c r="D18" s="91"/>
      <c r="E18" s="90"/>
      <c r="F18" s="90"/>
    </row>
    <row r="19" spans="1:6" ht="15" customHeight="1">
      <c r="A19" s="63">
        <f t="shared" si="0"/>
        <v>12</v>
      </c>
      <c r="B19" s="93" t="s">
        <v>739</v>
      </c>
      <c r="C19" s="63" t="s">
        <v>678</v>
      </c>
      <c r="D19" s="91"/>
      <c r="E19" s="90"/>
      <c r="F19" s="90"/>
    </row>
    <row r="20" spans="1:6" ht="15" customHeight="1">
      <c r="A20" s="63">
        <f t="shared" si="0"/>
        <v>13</v>
      </c>
      <c r="B20" s="93" t="s">
        <v>301</v>
      </c>
      <c r="C20" s="63" t="s">
        <v>678</v>
      </c>
      <c r="D20" s="91"/>
      <c r="E20" s="90"/>
      <c r="F20" s="90"/>
    </row>
    <row r="21" spans="1:6" ht="15" customHeight="1">
      <c r="A21" s="63">
        <f t="shared" si="0"/>
        <v>14</v>
      </c>
      <c r="B21" s="93" t="s">
        <v>737</v>
      </c>
      <c r="C21" s="63" t="s">
        <v>678</v>
      </c>
      <c r="D21" s="91">
        <v>1.32</v>
      </c>
      <c r="E21" s="90">
        <v>1.23</v>
      </c>
      <c r="F21" s="90">
        <v>1.45</v>
      </c>
    </row>
    <row r="22" spans="1:6" ht="15" customHeight="1">
      <c r="A22" s="63">
        <f t="shared" si="0"/>
        <v>15</v>
      </c>
      <c r="B22" s="93" t="s">
        <v>738</v>
      </c>
      <c r="C22" s="104" t="s">
        <v>730</v>
      </c>
      <c r="D22" s="91">
        <v>8916</v>
      </c>
      <c r="E22" s="90">
        <v>8916</v>
      </c>
      <c r="F22" s="90">
        <v>8916</v>
      </c>
    </row>
    <row r="24" spans="1:6" ht="28.5" customHeight="1">
      <c r="B24" s="407" t="s">
        <v>304</v>
      </c>
      <c r="C24" s="407"/>
      <c r="D24" s="407"/>
      <c r="E24" s="407"/>
      <c r="F24" s="407"/>
    </row>
    <row r="27" spans="1:6" ht="15" customHeight="1">
      <c r="D27" s="409" t="s">
        <v>208</v>
      </c>
      <c r="E27" s="409"/>
    </row>
  </sheetData>
  <mergeCells count="7">
    <mergeCell ref="D27:E27"/>
    <mergeCell ref="A5:D5"/>
    <mergeCell ref="B24:F24"/>
    <mergeCell ref="A2:B2"/>
    <mergeCell ref="A3:B3"/>
    <mergeCell ref="C2:F2"/>
    <mergeCell ref="C3:F3"/>
  </mergeCells>
  <phoneticPr fontId="0" type="noConversion"/>
  <pageMargins left="0.9" right="0.36" top="1" bottom="1" header="0.5" footer="0.5"/>
  <pageSetup paperSize="9" scale="68" orientation="portrait" r:id="rId1"/>
  <headerFooter alignWithMargins="0">
    <oddFooter>&amp;LTariff Petition for determination of tariff for FY 2015-16, approval of estimate for 2014-15 and truing up for  FY 2012-13 to FY 2013-14 for RPH</oddFooter>
  </headerFooter>
</worksheet>
</file>

<file path=xl/worksheets/sheet3.xml><?xml version="1.0" encoding="utf-8"?>
<worksheet xmlns="http://schemas.openxmlformats.org/spreadsheetml/2006/main" xmlns:r="http://schemas.openxmlformats.org/officeDocument/2006/relationships">
  <dimension ref="A1:G45"/>
  <sheetViews>
    <sheetView showGridLines="0" topLeftCell="A31" zoomScaleSheetLayoutView="80" workbookViewId="0">
      <selection activeCell="E48" sqref="E48"/>
    </sheetView>
  </sheetViews>
  <sheetFormatPr defaultColWidth="14.7109375" defaultRowHeight="12.75"/>
  <cols>
    <col min="1" max="1" width="6.42578125" style="35" customWidth="1"/>
    <col min="2" max="2" width="40.28515625" style="28" customWidth="1"/>
    <col min="3" max="3" width="11.5703125" style="28" customWidth="1"/>
    <col min="4" max="4" width="19.28515625" style="28" customWidth="1"/>
    <col min="5" max="5" width="19.42578125" style="28" customWidth="1"/>
    <col min="6" max="6" width="10.28515625" style="28" customWidth="1"/>
    <col min="7" max="16384" width="14.7109375" style="28"/>
  </cols>
  <sheetData>
    <row r="1" spans="1:7" s="16" customFormat="1" ht="15" customHeight="1">
      <c r="A1" s="398"/>
      <c r="B1" s="398"/>
      <c r="C1" s="398"/>
      <c r="D1" s="398"/>
      <c r="E1" s="398"/>
      <c r="F1" s="398"/>
    </row>
    <row r="2" spans="1:7" s="27" customFormat="1" ht="15" customHeight="1">
      <c r="A2" s="400" t="str">
        <f>[15]Index!A2:C2</f>
        <v>Name of Company:</v>
      </c>
      <c r="B2" s="400"/>
      <c r="C2" s="401" t="str">
        <f>[15]Index!D2</f>
        <v>INDRAPRASTHA POWER GENERATION COMPANY LIMITED</v>
      </c>
      <c r="D2" s="401"/>
      <c r="E2" s="401"/>
      <c r="F2" s="401"/>
      <c r="G2" s="26"/>
    </row>
    <row r="3" spans="1:7" s="16" customFormat="1" ht="15" customHeight="1">
      <c r="A3" s="400" t="str">
        <f>[15]Index!A3:C3</f>
        <v>Name of Plant/  Station:</v>
      </c>
      <c r="B3" s="400"/>
      <c r="C3" s="401" t="str">
        <f>[15]Index!D3</f>
        <v>RAJGHAT POWER HOUSE</v>
      </c>
      <c r="D3" s="401"/>
      <c r="E3" s="401"/>
      <c r="F3" s="401"/>
    </row>
    <row r="4" spans="1:7" ht="15" customHeight="1">
      <c r="A4" s="398"/>
      <c r="B4" s="398"/>
      <c r="C4" s="398"/>
      <c r="D4" s="398"/>
      <c r="E4" s="398"/>
      <c r="F4" s="398"/>
    </row>
    <row r="5" spans="1:7" ht="15" customHeight="1">
      <c r="A5" s="402" t="str">
        <f>[15]Index!D9</f>
        <v>Plant Charateristics</v>
      </c>
      <c r="B5" s="402"/>
      <c r="C5" s="402"/>
      <c r="D5" s="402"/>
      <c r="E5" s="52" t="s">
        <v>156</v>
      </c>
      <c r="F5" s="53" t="str">
        <f>[15]Index!C9</f>
        <v>F2</v>
      </c>
    </row>
    <row r="6" spans="1:7" ht="15" customHeight="1">
      <c r="A6" s="399"/>
      <c r="B6" s="399"/>
      <c r="C6" s="399"/>
      <c r="D6" s="399"/>
      <c r="E6" s="399"/>
      <c r="F6" s="399"/>
    </row>
    <row r="7" spans="1:7" ht="15" customHeight="1">
      <c r="A7" s="9"/>
      <c r="B7" s="9" t="s">
        <v>170</v>
      </c>
      <c r="C7" s="31"/>
      <c r="D7" s="31" t="s">
        <v>171</v>
      </c>
      <c r="E7" s="31" t="s">
        <v>172</v>
      </c>
      <c r="F7" s="31" t="s">
        <v>747</v>
      </c>
    </row>
    <row r="8" spans="1:7" ht="15" customHeight="1">
      <c r="A8" s="9"/>
      <c r="B8" s="9"/>
      <c r="C8" s="31"/>
      <c r="D8" s="31"/>
      <c r="E8" s="31"/>
      <c r="F8" s="31"/>
    </row>
    <row r="9" spans="1:7" ht="15" customHeight="1">
      <c r="A9" s="9"/>
      <c r="B9" s="81" t="s">
        <v>173</v>
      </c>
      <c r="C9" s="82" t="s">
        <v>177</v>
      </c>
      <c r="D9" s="82">
        <v>65</v>
      </c>
      <c r="E9" s="82">
        <v>90</v>
      </c>
      <c r="F9" s="82"/>
    </row>
    <row r="10" spans="1:7" ht="15" customHeight="1">
      <c r="A10" s="9"/>
      <c r="B10" s="81" t="s">
        <v>174</v>
      </c>
      <c r="C10" s="82"/>
      <c r="D10" s="82">
        <v>530</v>
      </c>
      <c r="E10" s="82">
        <v>530</v>
      </c>
      <c r="F10" s="82"/>
    </row>
    <row r="11" spans="1:7" ht="15" customHeight="1">
      <c r="A11" s="9"/>
      <c r="B11" s="80" t="s">
        <v>175</v>
      </c>
      <c r="C11" s="82" t="s">
        <v>178</v>
      </c>
      <c r="D11" s="82">
        <v>535</v>
      </c>
      <c r="E11" s="82">
        <v>535</v>
      </c>
      <c r="F11" s="82"/>
    </row>
    <row r="12" spans="1:7" ht="15" customHeight="1">
      <c r="A12" s="9"/>
      <c r="B12" s="80" t="s">
        <v>176</v>
      </c>
      <c r="C12" s="82" t="s">
        <v>178</v>
      </c>
      <c r="D12" s="82">
        <v>300</v>
      </c>
      <c r="E12" s="82">
        <v>300</v>
      </c>
      <c r="F12" s="82"/>
    </row>
    <row r="13" spans="1:7" ht="15" customHeight="1">
      <c r="A13" s="9"/>
      <c r="B13" s="81" t="s">
        <v>179</v>
      </c>
      <c r="C13" s="82" t="s">
        <v>180</v>
      </c>
      <c r="D13" s="82"/>
      <c r="E13" s="82"/>
      <c r="F13" s="82"/>
    </row>
    <row r="14" spans="1:7" ht="15" customHeight="1">
      <c r="A14" s="9"/>
      <c r="B14" s="81" t="s">
        <v>743</v>
      </c>
      <c r="C14" s="82" t="s">
        <v>180</v>
      </c>
      <c r="D14" s="82">
        <v>3049.8</v>
      </c>
      <c r="E14" s="82">
        <v>3220.1</v>
      </c>
      <c r="F14" s="82"/>
    </row>
    <row r="15" spans="1:7">
      <c r="A15" s="9"/>
      <c r="B15" s="83" t="s">
        <v>181</v>
      </c>
      <c r="C15" s="82"/>
      <c r="D15" s="82" t="s">
        <v>718</v>
      </c>
      <c r="E15" s="82" t="s">
        <v>718</v>
      </c>
      <c r="F15" s="82"/>
    </row>
    <row r="16" spans="1:7">
      <c r="A16" s="9"/>
      <c r="B16" s="81" t="s">
        <v>182</v>
      </c>
      <c r="C16" s="82"/>
      <c r="D16" s="82"/>
      <c r="E16" s="82"/>
      <c r="F16" s="82"/>
    </row>
    <row r="17" spans="1:6">
      <c r="A17" s="9"/>
      <c r="B17" s="81" t="s">
        <v>183</v>
      </c>
      <c r="C17" s="82"/>
      <c r="D17" s="299">
        <v>0</v>
      </c>
      <c r="E17" s="299">
        <v>0</v>
      </c>
      <c r="F17" s="82"/>
    </row>
    <row r="18" spans="1:6">
      <c r="A18" s="9"/>
      <c r="B18" s="81" t="s">
        <v>184</v>
      </c>
      <c r="C18" s="82"/>
      <c r="D18" s="82" t="s">
        <v>719</v>
      </c>
      <c r="E18" s="82" t="s">
        <v>719</v>
      </c>
      <c r="F18" s="82"/>
    </row>
    <row r="19" spans="1:6" ht="14.25">
      <c r="A19" s="9"/>
      <c r="B19" s="81" t="s">
        <v>190</v>
      </c>
      <c r="C19" s="82" t="s">
        <v>178</v>
      </c>
      <c r="D19" s="82">
        <v>32</v>
      </c>
      <c r="E19" s="82">
        <v>32</v>
      </c>
      <c r="F19" s="82"/>
    </row>
    <row r="20" spans="1:6">
      <c r="A20" s="9"/>
      <c r="B20" s="81" t="s">
        <v>185</v>
      </c>
      <c r="C20" s="82"/>
      <c r="D20" s="82">
        <v>9.5799999999999996E-2</v>
      </c>
      <c r="E20" s="82">
        <v>9.5799999999999996E-2</v>
      </c>
      <c r="F20" s="82"/>
    </row>
    <row r="21" spans="1:6" ht="71.25" customHeight="1">
      <c r="A21" s="9"/>
      <c r="B21" s="83" t="s">
        <v>186</v>
      </c>
      <c r="C21" s="82"/>
      <c r="D21" s="82"/>
      <c r="E21" s="82"/>
      <c r="F21" s="82"/>
    </row>
    <row r="22" spans="1:6">
      <c r="A22" s="9"/>
      <c r="B22" s="81" t="s">
        <v>187</v>
      </c>
      <c r="C22" s="82"/>
      <c r="D22" s="82" t="s">
        <v>720</v>
      </c>
      <c r="E22" s="82" t="s">
        <v>720</v>
      </c>
      <c r="F22" s="82"/>
    </row>
    <row r="23" spans="1:6">
      <c r="A23" s="9"/>
      <c r="B23" s="81" t="s">
        <v>188</v>
      </c>
      <c r="C23" s="82" t="s">
        <v>113</v>
      </c>
      <c r="D23" s="82">
        <v>67.5</v>
      </c>
      <c r="E23" s="82">
        <v>67.5</v>
      </c>
      <c r="F23" s="82"/>
    </row>
    <row r="24" spans="1:6">
      <c r="A24" s="9"/>
      <c r="B24" s="81" t="s">
        <v>189</v>
      </c>
      <c r="C24" s="82"/>
      <c r="D24" s="82" t="s">
        <v>721</v>
      </c>
      <c r="E24" s="82" t="s">
        <v>722</v>
      </c>
      <c r="F24" s="82"/>
    </row>
    <row r="25" spans="1:6" ht="14.25">
      <c r="A25" s="9"/>
      <c r="B25" s="81" t="s">
        <v>191</v>
      </c>
      <c r="C25" s="82"/>
      <c r="D25" s="82" t="s">
        <v>723</v>
      </c>
      <c r="E25" s="82" t="s">
        <v>723</v>
      </c>
      <c r="F25" s="82"/>
    </row>
    <row r="26" spans="1:6" ht="14.25">
      <c r="A26" s="9"/>
      <c r="B26" s="81" t="s">
        <v>193</v>
      </c>
      <c r="C26" s="82"/>
      <c r="D26" s="82" t="s">
        <v>724</v>
      </c>
      <c r="E26" s="82" t="s">
        <v>724</v>
      </c>
      <c r="F26" s="82"/>
    </row>
    <row r="27" spans="1:6" ht="14.25">
      <c r="A27" s="9"/>
      <c r="B27" s="81" t="s">
        <v>199</v>
      </c>
      <c r="C27" s="82"/>
      <c r="D27" s="82"/>
      <c r="E27" s="82"/>
      <c r="F27" s="82"/>
    </row>
    <row r="28" spans="1:6">
      <c r="A28" s="9"/>
      <c r="B28" s="80" t="s">
        <v>195</v>
      </c>
      <c r="C28" s="82"/>
      <c r="D28" s="82" t="s">
        <v>719</v>
      </c>
      <c r="E28" s="82" t="s">
        <v>719</v>
      </c>
      <c r="F28" s="82"/>
    </row>
    <row r="29" spans="1:6">
      <c r="A29" s="9"/>
      <c r="B29" s="80" t="s">
        <v>196</v>
      </c>
      <c r="C29" s="82"/>
      <c r="D29" s="82" t="s">
        <v>729</v>
      </c>
      <c r="E29" s="82" t="s">
        <v>729</v>
      </c>
      <c r="F29" s="82"/>
    </row>
    <row r="30" spans="1:6">
      <c r="A30" s="9"/>
      <c r="B30" s="80" t="s">
        <v>197</v>
      </c>
      <c r="C30" s="82"/>
      <c r="D30" s="82"/>
      <c r="E30" s="82"/>
      <c r="F30" s="82"/>
    </row>
    <row r="31" spans="1:6" ht="21.75" customHeight="1">
      <c r="A31" s="9"/>
      <c r="B31" s="81" t="s">
        <v>200</v>
      </c>
      <c r="C31" s="82"/>
      <c r="D31" s="404"/>
      <c r="E31" s="405"/>
      <c r="F31" s="405"/>
    </row>
    <row r="32" spans="1:6" ht="14.25">
      <c r="A32" s="9"/>
      <c r="B32" s="81" t="s">
        <v>201</v>
      </c>
      <c r="C32" s="82"/>
      <c r="D32" s="404"/>
      <c r="E32" s="405"/>
      <c r="F32" s="405"/>
    </row>
    <row r="33" spans="1:6" ht="14.25">
      <c r="A33" s="9"/>
      <c r="B33" s="81" t="s">
        <v>204</v>
      </c>
      <c r="C33" s="82"/>
      <c r="D33" s="404"/>
      <c r="E33" s="405"/>
      <c r="F33" s="405"/>
    </row>
    <row r="34" spans="1:6">
      <c r="A34" s="9"/>
      <c r="B34" s="81" t="s">
        <v>205</v>
      </c>
      <c r="C34" s="82"/>
      <c r="D34" s="404"/>
      <c r="E34" s="405"/>
      <c r="F34" s="405"/>
    </row>
    <row r="35" spans="1:6">
      <c r="A35" s="9"/>
      <c r="B35" s="81"/>
      <c r="C35" s="82"/>
      <c r="D35" s="404"/>
      <c r="E35" s="405"/>
      <c r="F35" s="405"/>
    </row>
    <row r="36" spans="1:6" ht="14.25">
      <c r="B36" s="84" t="s">
        <v>192</v>
      </c>
      <c r="C36" s="84"/>
      <c r="D36" s="84"/>
      <c r="E36" s="84"/>
      <c r="F36" s="84"/>
    </row>
    <row r="37" spans="1:6" ht="14.25">
      <c r="B37" s="84" t="s">
        <v>194</v>
      </c>
    </row>
    <row r="38" spans="1:6" ht="14.25">
      <c r="B38" s="84" t="s">
        <v>198</v>
      </c>
    </row>
    <row r="39" spans="1:6" ht="14.25">
      <c r="B39" s="84" t="s">
        <v>202</v>
      </c>
    </row>
    <row r="40" spans="1:6" ht="14.25">
      <c r="B40" s="84" t="s">
        <v>203</v>
      </c>
    </row>
    <row r="41" spans="1:6">
      <c r="B41" s="84" t="s">
        <v>206</v>
      </c>
    </row>
    <row r="42" spans="1:6">
      <c r="B42" s="84" t="s">
        <v>207</v>
      </c>
    </row>
    <row r="45" spans="1:6">
      <c r="E45" s="403" t="s">
        <v>208</v>
      </c>
      <c r="F45" s="403"/>
    </row>
  </sheetData>
  <mergeCells count="14">
    <mergeCell ref="E45:F45"/>
    <mergeCell ref="A4:F4"/>
    <mergeCell ref="A6:F6"/>
    <mergeCell ref="D31:F31"/>
    <mergeCell ref="D32:F32"/>
    <mergeCell ref="D33:F33"/>
    <mergeCell ref="D34:F34"/>
    <mergeCell ref="A5:D5"/>
    <mergeCell ref="D35:F35"/>
    <mergeCell ref="A1:F1"/>
    <mergeCell ref="A3:B3"/>
    <mergeCell ref="A2:B2"/>
    <mergeCell ref="C2:F2"/>
    <mergeCell ref="C3:F3"/>
  </mergeCells>
  <phoneticPr fontId="0" type="noConversion"/>
  <pageMargins left="0.9" right="0.36" top="1" bottom="1" header="0.5" footer="0.5"/>
  <pageSetup paperSize="9" scale="70" orientation="portrait" r:id="rId1"/>
  <headerFooter alignWithMargins="0">
    <oddFooter>&amp;LTariff Petition for determination of tariff for FY 2015-16, approval of estimate for 2014-15 and truing up for  FY 2012-13 to FY 2013-14 for RPH</oddFooter>
  </headerFooter>
</worksheet>
</file>

<file path=xl/worksheets/sheet30.xml><?xml version="1.0" encoding="utf-8"?>
<worksheet xmlns="http://schemas.openxmlformats.org/spreadsheetml/2006/main" xmlns:r="http://schemas.openxmlformats.org/officeDocument/2006/relationships">
  <sheetPr enableFormatConditionsCalculation="0">
    <tabColor indexed="50"/>
    <pageSetUpPr fitToPage="1"/>
  </sheetPr>
  <dimension ref="A2:I51"/>
  <sheetViews>
    <sheetView topLeftCell="A5" zoomScaleSheetLayoutView="80" workbookViewId="0">
      <selection activeCell="G12" sqref="G12"/>
    </sheetView>
  </sheetViews>
  <sheetFormatPr defaultRowHeight="12.75"/>
  <cols>
    <col min="1" max="1" width="7.5703125" style="228" bestFit="1" customWidth="1"/>
    <col min="2" max="2" width="35.140625" style="149" bestFit="1" customWidth="1"/>
    <col min="3" max="3" width="11.85546875" style="149" customWidth="1"/>
    <col min="4" max="4" width="11" style="149" customWidth="1"/>
    <col min="5" max="6" width="10.85546875" style="149" customWidth="1"/>
    <col min="7" max="16384" width="9.140625" style="149"/>
  </cols>
  <sheetData>
    <row r="2" spans="1:9">
      <c r="A2" s="400" t="str">
        <f>Index!A2:C2</f>
        <v>Name of Company:</v>
      </c>
      <c r="B2" s="400"/>
      <c r="C2" s="312" t="str">
        <f>Index!D2</f>
        <v>INDRAPRASTHA POWER GENERATION COMPANY LIMITED</v>
      </c>
      <c r="D2" s="312"/>
      <c r="E2" s="312"/>
      <c r="F2" s="312"/>
      <c r="G2" s="313"/>
    </row>
    <row r="3" spans="1:9">
      <c r="A3" s="400" t="str">
        <f>Index!A3:C3</f>
        <v>Name of Plant/  Station:</v>
      </c>
      <c r="B3" s="400"/>
      <c r="C3" s="495" t="str">
        <f>Index!D3</f>
        <v>Rajghat Power House</v>
      </c>
      <c r="D3" s="495"/>
      <c r="E3" s="495"/>
      <c r="F3" s="495"/>
      <c r="G3" s="313"/>
    </row>
    <row r="4" spans="1:9">
      <c r="A4" s="105"/>
      <c r="B4" s="105"/>
      <c r="C4" s="105"/>
      <c r="D4" s="105"/>
      <c r="E4" s="105"/>
      <c r="F4" s="105"/>
      <c r="G4" s="314"/>
      <c r="H4" s="213"/>
      <c r="I4" s="213"/>
    </row>
    <row r="5" spans="1:9" s="215" customFormat="1">
      <c r="A5" s="496" t="str">
        <f>Index!D35</f>
        <v>Expenses Capitalised</v>
      </c>
      <c r="B5" s="496"/>
      <c r="C5" s="496"/>
      <c r="D5" s="214"/>
      <c r="E5" s="214" t="s">
        <v>749</v>
      </c>
      <c r="F5" s="215" t="str">
        <f>Index!C35</f>
        <v>F28</v>
      </c>
    </row>
    <row r="6" spans="1:9">
      <c r="A6" s="216"/>
      <c r="B6" s="216"/>
      <c r="C6" s="216"/>
      <c r="D6" s="152"/>
      <c r="E6" s="494" t="s">
        <v>770</v>
      </c>
      <c r="F6" s="494"/>
    </row>
    <row r="7" spans="1:9" ht="12.75" customHeight="1">
      <c r="A7" s="489"/>
      <c r="B7" s="490"/>
      <c r="C7" s="73" t="s">
        <v>165</v>
      </c>
      <c r="D7" s="128" t="s">
        <v>166</v>
      </c>
      <c r="E7" s="128" t="s">
        <v>167</v>
      </c>
      <c r="F7" s="73" t="s">
        <v>748</v>
      </c>
    </row>
    <row r="8" spans="1:9" ht="13.5" customHeight="1">
      <c r="A8" s="489"/>
      <c r="B8" s="490"/>
      <c r="C8" s="491" t="s">
        <v>24</v>
      </c>
      <c r="D8" s="492"/>
      <c r="E8" s="493"/>
      <c r="F8" s="9" t="s">
        <v>45</v>
      </c>
    </row>
    <row r="9" spans="1:9">
      <c r="A9" s="217"/>
      <c r="B9" s="202"/>
      <c r="C9" s="202"/>
      <c r="D9" s="186"/>
      <c r="E9" s="186"/>
      <c r="F9" s="186"/>
    </row>
    <row r="10" spans="1:9" ht="15" customHeight="1">
      <c r="A10" s="218">
        <v>1</v>
      </c>
      <c r="B10" s="186" t="s">
        <v>663</v>
      </c>
      <c r="C10" s="274">
        <v>0</v>
      </c>
      <c r="D10" s="274">
        <v>0</v>
      </c>
      <c r="E10" s="274">
        <v>0</v>
      </c>
      <c r="F10" s="274">
        <v>0</v>
      </c>
    </row>
    <row r="11" spans="1:9" ht="15" customHeight="1">
      <c r="A11" s="218">
        <v>2</v>
      </c>
      <c r="B11" s="211" t="s">
        <v>664</v>
      </c>
      <c r="C11" s="274">
        <v>0</v>
      </c>
      <c r="D11" s="274">
        <v>0</v>
      </c>
      <c r="E11" s="274">
        <v>0</v>
      </c>
      <c r="F11" s="274">
        <v>0</v>
      </c>
    </row>
    <row r="12" spans="1:9" ht="15" customHeight="1">
      <c r="A12" s="218">
        <v>3</v>
      </c>
      <c r="B12" s="211" t="s">
        <v>665</v>
      </c>
      <c r="C12" s="274">
        <v>0</v>
      </c>
      <c r="D12" s="274">
        <v>0</v>
      </c>
      <c r="E12" s="274">
        <v>0</v>
      </c>
      <c r="F12" s="274">
        <v>0</v>
      </c>
    </row>
    <row r="13" spans="1:9" ht="15" customHeight="1">
      <c r="A13" s="218">
        <v>4</v>
      </c>
      <c r="B13" s="211" t="s">
        <v>666</v>
      </c>
      <c r="C13" s="274">
        <v>0</v>
      </c>
      <c r="D13" s="274">
        <v>0</v>
      </c>
      <c r="E13" s="274">
        <v>0</v>
      </c>
      <c r="F13" s="274">
        <v>0</v>
      </c>
    </row>
    <row r="14" spans="1:9" ht="15" customHeight="1" thickBot="1">
      <c r="A14" s="219"/>
      <c r="B14" s="220" t="s">
        <v>667</v>
      </c>
      <c r="C14" s="300">
        <f>SUM(C10:C13)</f>
        <v>0</v>
      </c>
      <c r="D14" s="300">
        <f>SUM(D10:D13)</f>
        <v>0</v>
      </c>
      <c r="E14" s="300">
        <f>SUM(E10:E13)</f>
        <v>0</v>
      </c>
      <c r="F14" s="300">
        <f>SUM(F10:F13)</f>
        <v>0</v>
      </c>
    </row>
    <row r="17" spans="1:2" s="157" customFormat="1">
      <c r="A17" s="221"/>
      <c r="B17" s="222"/>
    </row>
    <row r="18" spans="1:2" s="157" customFormat="1">
      <c r="A18" s="223"/>
    </row>
    <row r="19" spans="1:2" s="157" customFormat="1">
      <c r="A19" s="224"/>
      <c r="B19" s="225"/>
    </row>
    <row r="20" spans="1:2" s="157" customFormat="1">
      <c r="A20" s="223"/>
    </row>
    <row r="21" spans="1:2" s="157" customFormat="1">
      <c r="A21" s="224"/>
      <c r="B21" s="224"/>
    </row>
    <row r="22" spans="1:2" s="157" customFormat="1">
      <c r="A22" s="224"/>
      <c r="B22" s="224"/>
    </row>
    <row r="23" spans="1:2" s="157" customFormat="1">
      <c r="A23" s="223"/>
      <c r="B23" s="226"/>
    </row>
    <row r="24" spans="1:2" s="157" customFormat="1">
      <c r="A24" s="223"/>
      <c r="B24" s="226"/>
    </row>
    <row r="25" spans="1:2" s="157" customFormat="1">
      <c r="A25" s="223"/>
    </row>
    <row r="26" spans="1:2" s="157" customFormat="1">
      <c r="A26" s="223"/>
      <c r="B26" s="227"/>
    </row>
    <row r="27" spans="1:2" s="157" customFormat="1">
      <c r="A27" s="223"/>
      <c r="B27" s="181"/>
    </row>
    <row r="28" spans="1:2" s="157" customFormat="1">
      <c r="A28" s="223"/>
      <c r="B28" s="227"/>
    </row>
    <row r="29" spans="1:2" s="157" customFormat="1">
      <c r="A29" s="223"/>
      <c r="B29" s="227"/>
    </row>
    <row r="30" spans="1:2" s="157" customFormat="1">
      <c r="A30" s="223"/>
      <c r="B30" s="227"/>
    </row>
    <row r="31" spans="1:2" s="157" customFormat="1">
      <c r="A31" s="223"/>
      <c r="B31" s="223"/>
    </row>
    <row r="32" spans="1:2" s="157" customFormat="1">
      <c r="A32" s="223"/>
      <c r="B32" s="224"/>
    </row>
    <row r="33" spans="1:2" s="157" customFormat="1">
      <c r="A33" s="223"/>
    </row>
    <row r="34" spans="1:2" s="157" customFormat="1">
      <c r="A34" s="223"/>
    </row>
    <row r="35" spans="1:2" s="157" customFormat="1">
      <c r="A35" s="221"/>
      <c r="B35" s="222"/>
    </row>
    <row r="36" spans="1:2" s="157" customFormat="1">
      <c r="A36" s="223"/>
    </row>
    <row r="37" spans="1:2" s="157" customFormat="1">
      <c r="A37" s="224"/>
      <c r="B37" s="225"/>
    </row>
    <row r="38" spans="1:2" s="157" customFormat="1">
      <c r="A38" s="223"/>
    </row>
    <row r="39" spans="1:2" s="157" customFormat="1">
      <c r="A39" s="224"/>
      <c r="B39" s="224"/>
    </row>
    <row r="40" spans="1:2" s="157" customFormat="1">
      <c r="A40" s="224"/>
      <c r="B40" s="224"/>
    </row>
    <row r="41" spans="1:2" s="157" customFormat="1">
      <c r="A41" s="223"/>
      <c r="B41" s="226"/>
    </row>
    <row r="42" spans="1:2" s="157" customFormat="1">
      <c r="A42" s="223"/>
      <c r="B42" s="226"/>
    </row>
    <row r="43" spans="1:2" s="157" customFormat="1">
      <c r="A43" s="223"/>
    </row>
    <row r="44" spans="1:2" s="157" customFormat="1">
      <c r="A44" s="223"/>
      <c r="B44" s="227"/>
    </row>
    <row r="45" spans="1:2" s="157" customFormat="1">
      <c r="A45" s="223"/>
      <c r="B45" s="181"/>
    </row>
    <row r="46" spans="1:2" s="157" customFormat="1">
      <c r="A46" s="223"/>
      <c r="B46" s="227"/>
    </row>
    <row r="47" spans="1:2" s="157" customFormat="1">
      <c r="A47" s="223"/>
      <c r="B47" s="227"/>
    </row>
    <row r="48" spans="1:2" s="157" customFormat="1">
      <c r="A48" s="223"/>
      <c r="B48" s="227"/>
    </row>
    <row r="49" spans="1:2" s="157" customFormat="1">
      <c r="A49" s="223"/>
      <c r="B49" s="223"/>
    </row>
    <row r="50" spans="1:2" s="157" customFormat="1">
      <c r="A50" s="223"/>
      <c r="B50" s="224"/>
    </row>
    <row r="51" spans="1:2" s="157" customFormat="1">
      <c r="A51" s="223"/>
    </row>
  </sheetData>
  <mergeCells count="8">
    <mergeCell ref="A7:A8"/>
    <mergeCell ref="B7:B8"/>
    <mergeCell ref="C8:E8"/>
    <mergeCell ref="E6:F6"/>
    <mergeCell ref="A2:B2"/>
    <mergeCell ref="A3:B3"/>
    <mergeCell ref="C3:F3"/>
    <mergeCell ref="A5:C5"/>
  </mergeCells>
  <phoneticPr fontId="0" type="noConversion"/>
  <pageMargins left="0.9" right="0.36" top="1" bottom="1" header="0.5" footer="0.5"/>
  <pageSetup paperSize="9" scale="94" orientation="portrait" r:id="rId1"/>
  <headerFooter alignWithMargins="0">
    <oddFooter>&amp;LTariff Petition for determination of tariff for FY 2015-16, approval of estimate for 2014-15 and truing up for  FY 2012-13 to FY 2013-14 for RPH</oddFooter>
  </headerFooter>
</worksheet>
</file>

<file path=xl/worksheets/sheet31.xml><?xml version="1.0" encoding="utf-8"?>
<worksheet xmlns="http://schemas.openxmlformats.org/spreadsheetml/2006/main" xmlns:r="http://schemas.openxmlformats.org/officeDocument/2006/relationships">
  <sheetPr enableFormatConditionsCalculation="0">
    <tabColor indexed="50"/>
    <pageSetUpPr fitToPage="1"/>
  </sheetPr>
  <dimension ref="A1:AI100"/>
  <sheetViews>
    <sheetView tabSelected="1" zoomScaleSheetLayoutView="80" workbookViewId="0">
      <selection activeCell="B18" sqref="B18"/>
    </sheetView>
  </sheetViews>
  <sheetFormatPr defaultRowHeight="12.75"/>
  <cols>
    <col min="1" max="1" width="5.140625" style="228" bestFit="1" customWidth="1"/>
    <col min="2" max="2" width="46" style="149" bestFit="1" customWidth="1"/>
    <col min="3" max="6" width="16.5703125" style="149" customWidth="1"/>
    <col min="7" max="16384" width="9.140625" style="149"/>
  </cols>
  <sheetData>
    <row r="1" spans="1:35" ht="19.5" customHeight="1"/>
    <row r="2" spans="1:35" ht="19.5" customHeight="1">
      <c r="A2" s="400" t="str">
        <f>Index!A2:C2</f>
        <v>Name of Company:</v>
      </c>
      <c r="B2" s="400"/>
      <c r="C2" s="401" t="str">
        <f>Index!D2</f>
        <v>INDRAPRASTHA POWER GENERATION COMPANY LIMITED</v>
      </c>
      <c r="D2" s="401"/>
      <c r="E2" s="401"/>
      <c r="F2" s="401"/>
    </row>
    <row r="3" spans="1:35" ht="19.5" customHeight="1">
      <c r="A3" s="400" t="str">
        <f>Index!A3:C3</f>
        <v>Name of Plant/  Station:</v>
      </c>
      <c r="B3" s="400"/>
      <c r="C3" s="401" t="str">
        <f>Index!D3</f>
        <v>Rajghat Power House</v>
      </c>
      <c r="D3" s="401"/>
      <c r="E3" s="401"/>
      <c r="F3" s="401"/>
    </row>
    <row r="4" spans="1:35" ht="19.5" customHeight="1">
      <c r="A4" s="105"/>
      <c r="B4" s="105"/>
      <c r="C4" s="105"/>
      <c r="D4" s="105"/>
      <c r="E4" s="105"/>
      <c r="F4" s="105"/>
    </row>
    <row r="5" spans="1:35" s="382" customFormat="1">
      <c r="A5" s="499" t="str">
        <f>Index!D36</f>
        <v>Income Tax Provisions</v>
      </c>
      <c r="B5" s="499"/>
      <c r="C5" s="499"/>
      <c r="D5" s="499"/>
      <c r="E5" s="214" t="s">
        <v>749</v>
      </c>
      <c r="F5" s="214" t="str">
        <f>Index!C36</f>
        <v>F29</v>
      </c>
    </row>
    <row r="6" spans="1:35">
      <c r="A6" s="383"/>
      <c r="B6" s="170"/>
      <c r="C6" s="170"/>
      <c r="D6" s="170"/>
      <c r="E6" s="170"/>
      <c r="F6" s="128" t="s">
        <v>768</v>
      </c>
    </row>
    <row r="7" spans="1:35" ht="12.75" customHeight="1">
      <c r="A7" s="498"/>
      <c r="B7" s="490"/>
      <c r="C7" s="370" t="s">
        <v>165</v>
      </c>
      <c r="D7" s="370" t="s">
        <v>166</v>
      </c>
      <c r="E7" s="370" t="s">
        <v>167</v>
      </c>
      <c r="F7" s="370" t="s">
        <v>748</v>
      </c>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row>
    <row r="8" spans="1:35" ht="12.75" customHeight="1">
      <c r="A8" s="498"/>
      <c r="B8" s="490"/>
      <c r="C8" s="369" t="s">
        <v>24</v>
      </c>
      <c r="D8" s="369" t="s">
        <v>24</v>
      </c>
      <c r="E8" s="369" t="s">
        <v>8</v>
      </c>
      <c r="F8" s="9" t="s">
        <v>45</v>
      </c>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row>
    <row r="9" spans="1:35" ht="15" customHeight="1">
      <c r="A9" s="384">
        <v>1</v>
      </c>
      <c r="B9" s="208" t="s">
        <v>669</v>
      </c>
      <c r="C9" s="295">
        <f>'F25'!D14*32.445%</f>
        <v>4.9112442915920358</v>
      </c>
      <c r="D9" s="295">
        <f>'F25'!E14*33.99%</f>
        <v>5.3347557311770943</v>
      </c>
      <c r="E9" s="295">
        <f>'F25'!F14*33.99%</f>
        <v>5.3600757991501595</v>
      </c>
      <c r="F9" s="295">
        <f>'F25'!G14*33.99%</f>
        <v>5.3614669792123006</v>
      </c>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row>
    <row r="10" spans="1:35" ht="15" customHeight="1">
      <c r="A10" s="384">
        <v>2</v>
      </c>
      <c r="B10" s="208" t="s">
        <v>670</v>
      </c>
      <c r="C10" s="295">
        <v>10.16</v>
      </c>
      <c r="D10" s="296">
        <v>20.63</v>
      </c>
      <c r="E10" s="296">
        <v>0</v>
      </c>
      <c r="F10" s="296">
        <v>0</v>
      </c>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row>
    <row r="11" spans="1:35" ht="15" customHeight="1">
      <c r="A11" s="384">
        <v>3</v>
      </c>
      <c r="B11" s="208" t="s">
        <v>671</v>
      </c>
      <c r="C11" s="295">
        <v>0</v>
      </c>
      <c r="D11" s="297">
        <v>0</v>
      </c>
      <c r="E11" s="297">
        <v>0</v>
      </c>
      <c r="F11" s="297">
        <v>0</v>
      </c>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row>
    <row r="12" spans="1:35" ht="15" customHeight="1">
      <c r="A12" s="384">
        <v>4</v>
      </c>
      <c r="B12" s="208" t="s">
        <v>672</v>
      </c>
      <c r="C12" s="295">
        <v>0</v>
      </c>
      <c r="D12" s="296">
        <v>0</v>
      </c>
      <c r="E12" s="296">
        <v>0</v>
      </c>
      <c r="F12" s="296">
        <v>0</v>
      </c>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row>
    <row r="13" spans="1:35" ht="15" customHeight="1">
      <c r="A13" s="371"/>
      <c r="B13" s="209" t="s">
        <v>17</v>
      </c>
      <c r="C13" s="385">
        <v>0</v>
      </c>
      <c r="D13" s="385">
        <v>0</v>
      </c>
      <c r="E13" s="385">
        <v>0</v>
      </c>
      <c r="F13" s="385">
        <v>0</v>
      </c>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row>
    <row r="14" spans="1:35">
      <c r="A14" s="229" t="s">
        <v>478</v>
      </c>
      <c r="B14" s="497" t="s">
        <v>673</v>
      </c>
      <c r="C14" s="497"/>
      <c r="D14" s="497"/>
      <c r="E14" s="497"/>
      <c r="F14" s="497"/>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row>
    <row r="15" spans="1:35">
      <c r="A15" s="229"/>
      <c r="B15" s="497"/>
      <c r="C15" s="497"/>
      <c r="D15" s="497"/>
      <c r="E15" s="497"/>
      <c r="F15" s="497"/>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row>
    <row r="16" spans="1:35">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row>
    <row r="17" spans="7:35">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row>
    <row r="18" spans="7:35">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row>
    <row r="19" spans="7:35">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row>
    <row r="20" spans="7:35">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row>
    <row r="21" spans="7:35">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row>
    <row r="22" spans="7:35">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row>
    <row r="23" spans="7:35">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row>
    <row r="24" spans="7:35">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row>
    <row r="25" spans="7:35">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row>
    <row r="26" spans="7:35">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row>
    <row r="27" spans="7:35">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row>
    <row r="28" spans="7:35">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row>
    <row r="29" spans="7:35">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row>
    <row r="30" spans="7:35">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row>
    <row r="31" spans="7:35">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row>
    <row r="32" spans="7:35">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row>
    <row r="33" spans="7:35">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row>
    <row r="34" spans="7:35">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row>
    <row r="35" spans="7:35">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row>
    <row r="36" spans="7:35">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row>
    <row r="37" spans="7:35">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row>
    <row r="38" spans="7:35">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row>
    <row r="39" spans="7:35">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row>
    <row r="40" spans="7:35">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row>
    <row r="41" spans="7:35">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row>
    <row r="42" spans="7:35">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row>
    <row r="43" spans="7:35">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row>
    <row r="44" spans="7:35">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row>
    <row r="45" spans="7:35">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row>
    <row r="46" spans="7:35">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row>
    <row r="47" spans="7:35">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row>
    <row r="48" spans="7:35">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row>
    <row r="49" spans="7:35">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row>
    <row r="50" spans="7:35">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row>
    <row r="51" spans="7:35">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row>
    <row r="52" spans="7:35">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row>
    <row r="53" spans="7:35">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row>
    <row r="54" spans="7:35">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row>
    <row r="55" spans="7:35">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row>
    <row r="56" spans="7:35">
      <c r="G56" s="152"/>
      <c r="H56" s="152"/>
      <c r="I56" s="152"/>
      <c r="J56" s="152"/>
      <c r="K56" s="152"/>
      <c r="L56" s="152"/>
      <c r="M56" s="152"/>
      <c r="N56" s="152"/>
      <c r="O56" s="152"/>
      <c r="P56" s="152"/>
      <c r="Q56" s="152"/>
      <c r="R56" s="152"/>
      <c r="S56" s="152"/>
      <c r="T56" s="152"/>
      <c r="U56" s="152"/>
      <c r="V56" s="152"/>
      <c r="W56" s="152"/>
      <c r="X56" s="152"/>
      <c r="Y56" s="152"/>
      <c r="Z56" s="152"/>
      <c r="AA56" s="152"/>
      <c r="AB56" s="152"/>
      <c r="AC56" s="152"/>
      <c r="AD56" s="152"/>
      <c r="AE56" s="152"/>
      <c r="AF56" s="152"/>
      <c r="AG56" s="152"/>
      <c r="AH56" s="152"/>
      <c r="AI56" s="152"/>
    </row>
    <row r="57" spans="7:35">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row>
    <row r="58" spans="7:35">
      <c r="G58" s="152"/>
      <c r="H58" s="152"/>
      <c r="I58" s="152"/>
      <c r="J58" s="152"/>
      <c r="K58" s="152"/>
      <c r="L58" s="152"/>
      <c r="M58" s="152"/>
      <c r="N58" s="152"/>
      <c r="O58" s="152"/>
      <c r="P58" s="152"/>
      <c r="Q58" s="152"/>
      <c r="R58" s="152"/>
      <c r="S58" s="152"/>
      <c r="T58" s="152"/>
      <c r="U58" s="152"/>
      <c r="V58" s="152"/>
      <c r="W58" s="152"/>
      <c r="X58" s="152"/>
      <c r="Y58" s="152"/>
      <c r="Z58" s="152"/>
      <c r="AA58" s="152"/>
      <c r="AB58" s="152"/>
      <c r="AC58" s="152"/>
      <c r="AD58" s="152"/>
      <c r="AE58" s="152"/>
      <c r="AF58" s="152"/>
      <c r="AG58" s="152"/>
      <c r="AH58" s="152"/>
      <c r="AI58" s="152"/>
    </row>
    <row r="59" spans="7:35">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row>
    <row r="60" spans="7:35">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row>
    <row r="61" spans="7:35">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152"/>
    </row>
    <row r="62" spans="7:35">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152"/>
      <c r="AI62" s="152"/>
    </row>
    <row r="63" spans="7:35">
      <c r="G63" s="152"/>
      <c r="H63" s="152"/>
      <c r="I63" s="152"/>
      <c r="J63" s="152"/>
      <c r="K63" s="152"/>
      <c r="L63" s="152"/>
      <c r="M63" s="152"/>
      <c r="N63" s="152"/>
      <c r="O63" s="152"/>
      <c r="P63" s="152"/>
      <c r="Q63" s="152"/>
      <c r="R63" s="152"/>
      <c r="S63" s="152"/>
      <c r="T63" s="152"/>
      <c r="U63" s="152"/>
      <c r="V63" s="152"/>
      <c r="W63" s="152"/>
      <c r="X63" s="152"/>
      <c r="Y63" s="152"/>
      <c r="Z63" s="152"/>
      <c r="AA63" s="152"/>
      <c r="AB63" s="152"/>
      <c r="AC63" s="152"/>
      <c r="AD63" s="152"/>
      <c r="AE63" s="152"/>
      <c r="AF63" s="152"/>
      <c r="AG63" s="152"/>
      <c r="AH63" s="152"/>
      <c r="AI63" s="152"/>
    </row>
    <row r="64" spans="7:35">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2"/>
      <c r="AE64" s="152"/>
      <c r="AF64" s="152"/>
      <c r="AG64" s="152"/>
      <c r="AH64" s="152"/>
      <c r="AI64" s="152"/>
    </row>
    <row r="65" spans="2:35">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row>
    <row r="66" spans="2:35">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row>
    <row r="67" spans="2:35">
      <c r="G67" s="152"/>
      <c r="H67" s="152"/>
      <c r="I67" s="152"/>
      <c r="J67" s="152"/>
      <c r="K67" s="152"/>
      <c r="L67" s="152"/>
      <c r="M67" s="152"/>
      <c r="N67" s="152"/>
      <c r="O67" s="152"/>
      <c r="P67" s="152"/>
      <c r="Q67" s="152"/>
      <c r="R67" s="152"/>
      <c r="S67" s="152"/>
      <c r="T67" s="152"/>
      <c r="U67" s="152"/>
      <c r="V67" s="152"/>
      <c r="W67" s="152"/>
      <c r="X67" s="152"/>
      <c r="Y67" s="152"/>
      <c r="Z67" s="152"/>
      <c r="AA67" s="152"/>
      <c r="AB67" s="152"/>
      <c r="AC67" s="152"/>
      <c r="AD67" s="152"/>
      <c r="AE67" s="152"/>
      <c r="AF67" s="152"/>
      <c r="AG67" s="152"/>
      <c r="AH67" s="152"/>
      <c r="AI67" s="152"/>
    </row>
    <row r="68" spans="2:35">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row>
    <row r="69" spans="2:35">
      <c r="G69" s="152"/>
      <c r="H69" s="152"/>
      <c r="I69" s="152"/>
      <c r="J69" s="152"/>
      <c r="K69" s="152"/>
      <c r="L69" s="152"/>
      <c r="M69" s="152"/>
      <c r="N69" s="152"/>
      <c r="O69" s="152"/>
      <c r="P69" s="152"/>
      <c r="Q69" s="152"/>
      <c r="R69" s="152"/>
      <c r="S69" s="152"/>
      <c r="T69" s="152"/>
      <c r="U69" s="152"/>
      <c r="V69" s="152"/>
      <c r="W69" s="152"/>
      <c r="X69" s="152"/>
      <c r="Y69" s="152"/>
      <c r="Z69" s="152"/>
      <c r="AA69" s="152"/>
      <c r="AB69" s="152"/>
      <c r="AC69" s="152"/>
      <c r="AD69" s="152"/>
      <c r="AE69" s="152"/>
      <c r="AF69" s="152"/>
      <c r="AG69" s="152"/>
      <c r="AH69" s="152"/>
      <c r="AI69" s="152"/>
    </row>
    <row r="70" spans="2:35">
      <c r="G70" s="152"/>
      <c r="H70" s="152"/>
      <c r="I70" s="152"/>
      <c r="J70" s="152"/>
      <c r="K70" s="152"/>
      <c r="L70" s="152"/>
      <c r="M70" s="152"/>
      <c r="N70" s="152"/>
      <c r="O70" s="152"/>
      <c r="P70" s="152"/>
      <c r="Q70" s="152"/>
      <c r="R70" s="152"/>
      <c r="S70" s="152"/>
      <c r="T70" s="152"/>
      <c r="U70" s="152"/>
      <c r="V70" s="152"/>
      <c r="W70" s="152"/>
      <c r="X70" s="152"/>
      <c r="Y70" s="152"/>
      <c r="Z70" s="152"/>
      <c r="AA70" s="152"/>
      <c r="AB70" s="152"/>
      <c r="AC70" s="152"/>
      <c r="AD70" s="152"/>
      <c r="AE70" s="152"/>
      <c r="AF70" s="152"/>
      <c r="AG70" s="152"/>
      <c r="AH70" s="152"/>
      <c r="AI70" s="152"/>
    </row>
    <row r="71" spans="2:35">
      <c r="G71" s="152"/>
      <c r="H71" s="152"/>
      <c r="I71" s="152"/>
      <c r="J71" s="152"/>
      <c r="K71" s="152"/>
      <c r="L71" s="152"/>
      <c r="M71" s="152"/>
      <c r="N71" s="152"/>
      <c r="O71" s="152"/>
      <c r="P71" s="152"/>
      <c r="Q71" s="152"/>
      <c r="R71" s="152"/>
      <c r="S71" s="152"/>
      <c r="T71" s="152"/>
      <c r="U71" s="152"/>
      <c r="V71" s="152"/>
      <c r="W71" s="152"/>
      <c r="X71" s="152"/>
      <c r="Y71" s="152"/>
      <c r="Z71" s="152"/>
      <c r="AA71" s="152"/>
      <c r="AB71" s="152"/>
      <c r="AC71" s="152"/>
      <c r="AD71" s="152"/>
      <c r="AE71" s="152"/>
      <c r="AF71" s="152"/>
      <c r="AG71" s="152"/>
      <c r="AH71" s="152"/>
      <c r="AI71" s="152"/>
    </row>
    <row r="72" spans="2:35">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c r="AC72" s="152"/>
      <c r="AD72" s="152"/>
      <c r="AE72" s="152"/>
      <c r="AF72" s="152"/>
      <c r="AG72" s="152"/>
      <c r="AH72" s="152"/>
      <c r="AI72" s="152"/>
    </row>
    <row r="73" spans="2:35">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row>
    <row r="74" spans="2:35">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c r="AC74" s="152"/>
      <c r="AD74" s="152"/>
      <c r="AE74" s="152"/>
      <c r="AF74" s="152"/>
      <c r="AG74" s="152"/>
      <c r="AH74" s="152"/>
      <c r="AI74" s="152"/>
    </row>
    <row r="75" spans="2:35">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row>
    <row r="76" spans="2:35">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c r="AC76" s="152"/>
      <c r="AD76" s="152"/>
      <c r="AE76" s="152"/>
      <c r="AF76" s="152"/>
      <c r="AG76" s="152"/>
      <c r="AH76" s="152"/>
      <c r="AI76" s="152"/>
    </row>
    <row r="77" spans="2:35">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c r="AC77" s="152"/>
      <c r="AD77" s="152"/>
      <c r="AE77" s="152"/>
      <c r="AF77" s="152"/>
      <c r="AG77" s="152"/>
      <c r="AH77" s="152"/>
      <c r="AI77" s="152"/>
    </row>
    <row r="78" spans="2:35">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152"/>
      <c r="AD78" s="152"/>
      <c r="AE78" s="152"/>
      <c r="AF78" s="152"/>
      <c r="AG78" s="152"/>
      <c r="AH78" s="152"/>
      <c r="AI78" s="152"/>
    </row>
    <row r="79" spans="2:35">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row>
    <row r="80" spans="2:35">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row>
    <row r="81" spans="2:35">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c r="AC81" s="152"/>
      <c r="AD81" s="152"/>
      <c r="AE81" s="152"/>
      <c r="AF81" s="152"/>
      <c r="AG81" s="152"/>
      <c r="AH81" s="152"/>
      <c r="AI81" s="152"/>
    </row>
    <row r="82" spans="2:35">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c r="AC82" s="152"/>
      <c r="AD82" s="152"/>
      <c r="AE82" s="152"/>
      <c r="AF82" s="152"/>
      <c r="AG82" s="152"/>
      <c r="AH82" s="152"/>
      <c r="AI82" s="152"/>
    </row>
    <row r="83" spans="2:35">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row>
    <row r="84" spans="2:35">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c r="AC84" s="152"/>
      <c r="AD84" s="152"/>
      <c r="AE84" s="152"/>
      <c r="AF84" s="152"/>
      <c r="AG84" s="152"/>
      <c r="AH84" s="152"/>
      <c r="AI84" s="152"/>
    </row>
    <row r="85" spans="2:35">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row>
    <row r="86" spans="2:35">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row>
    <row r="87" spans="2:35">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row>
    <row r="88" spans="2:35">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row>
    <row r="89" spans="2:35">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row>
    <row r="90" spans="2:35">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152"/>
    </row>
    <row r="91" spans="2:35">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row>
    <row r="92" spans="2:35">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row>
    <row r="93" spans="2:35">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row>
    <row r="94" spans="2:35">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row>
    <row r="95" spans="2:35">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row>
    <row r="96" spans="2:35">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c r="AC96" s="152"/>
      <c r="AD96" s="152"/>
      <c r="AE96" s="152"/>
      <c r="AF96" s="152"/>
      <c r="AG96" s="152"/>
      <c r="AH96" s="152"/>
      <c r="AI96" s="152"/>
    </row>
    <row r="97" spans="2:35">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row>
    <row r="98" spans="2:35">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c r="AC98" s="152"/>
      <c r="AD98" s="152"/>
      <c r="AE98" s="152"/>
      <c r="AF98" s="152"/>
      <c r="AG98" s="152"/>
      <c r="AH98" s="152"/>
      <c r="AI98" s="152"/>
    </row>
    <row r="99" spans="2:35">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row>
    <row r="100" spans="2:35">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row>
  </sheetData>
  <mergeCells count="9">
    <mergeCell ref="C3:D3"/>
    <mergeCell ref="B14:F15"/>
    <mergeCell ref="E3:F3"/>
    <mergeCell ref="A2:B2"/>
    <mergeCell ref="A3:B3"/>
    <mergeCell ref="A7:A8"/>
    <mergeCell ref="B7:B8"/>
    <mergeCell ref="A5:D5"/>
    <mergeCell ref="C2:F2"/>
  </mergeCells>
  <phoneticPr fontId="0" type="noConversion"/>
  <pageMargins left="0.9" right="0.36" top="1" bottom="1" header="0.5" footer="0.5"/>
  <pageSetup paperSize="9" scale="77" orientation="portrait" r:id="rId1"/>
  <headerFooter alignWithMargins="0">
    <oddFooter>&amp;LTariff Petition for determination of tariff for FY 2015-16, approval of estimate for 2014-15 and truing up for  FY 2012-13 to FY 2013-14 for RPH</oddFooter>
  </headerFooter>
</worksheet>
</file>

<file path=xl/worksheets/sheet4.xml><?xml version="1.0" encoding="utf-8"?>
<worksheet xmlns="http://schemas.openxmlformats.org/spreadsheetml/2006/main" xmlns:r="http://schemas.openxmlformats.org/officeDocument/2006/relationships">
  <dimension ref="A1:H35"/>
  <sheetViews>
    <sheetView showGridLines="0" topLeftCell="A10" zoomScale="80" zoomScaleNormal="80" zoomScaleSheetLayoutView="80" workbookViewId="0">
      <selection activeCell="I12" sqref="I12"/>
    </sheetView>
  </sheetViews>
  <sheetFormatPr defaultColWidth="14.7109375" defaultRowHeight="12.75"/>
  <cols>
    <col min="1" max="1" width="6.42578125" style="35" customWidth="1"/>
    <col min="2" max="2" width="38.5703125" style="28" customWidth="1"/>
    <col min="3" max="3" width="11.5703125" style="28" customWidth="1"/>
    <col min="4" max="5" width="9.140625" style="28" customWidth="1"/>
    <col min="6" max="6" width="10.42578125" style="28" customWidth="1"/>
    <col min="7" max="7" width="16" style="28" customWidth="1"/>
    <col min="8" max="16384" width="14.7109375" style="28"/>
  </cols>
  <sheetData>
    <row r="1" spans="1:8" s="16" customFormat="1" ht="15" customHeight="1">
      <c r="A1" s="398"/>
      <c r="B1" s="398"/>
      <c r="C1" s="398"/>
      <c r="D1" s="398"/>
      <c r="E1" s="398"/>
      <c r="F1" s="398"/>
      <c r="G1" s="398"/>
    </row>
    <row r="2" spans="1:8" s="27" customFormat="1" ht="15" customHeight="1">
      <c r="A2" s="400" t="str">
        <f>[15]Index!A2:C2</f>
        <v>Name of Company:</v>
      </c>
      <c r="B2" s="400"/>
      <c r="C2" s="401" t="str">
        <f>[15]Index!D2</f>
        <v>INDRAPRASTHA POWER GENERATION COMPANY LIMITED</v>
      </c>
      <c r="D2" s="401"/>
      <c r="E2" s="401"/>
      <c r="F2" s="401"/>
      <c r="G2" s="401"/>
      <c r="H2" s="26"/>
    </row>
    <row r="3" spans="1:8" s="16" customFormat="1" ht="15" customHeight="1">
      <c r="A3" s="400" t="str">
        <f>[15]Index!A3:C3</f>
        <v>Name of Plant/  Station:</v>
      </c>
      <c r="B3" s="400"/>
      <c r="C3" s="401" t="str">
        <f>[15]Index!D3</f>
        <v>RAJGHAT POWER HOUSE</v>
      </c>
      <c r="D3" s="401"/>
      <c r="E3" s="401"/>
      <c r="F3" s="401"/>
      <c r="G3" s="401"/>
    </row>
    <row r="4" spans="1:8" ht="15" customHeight="1">
      <c r="A4" s="398"/>
      <c r="B4" s="398"/>
      <c r="C4" s="398"/>
      <c r="D4" s="398"/>
      <c r="E4" s="398"/>
      <c r="F4" s="398"/>
      <c r="G4" s="398"/>
    </row>
    <row r="5" spans="1:8" ht="15" customHeight="1">
      <c r="A5" s="402" t="str">
        <f>[15]Index!D10</f>
        <v>Normative Parameters Considered for Tariff Computations</v>
      </c>
      <c r="B5" s="402"/>
      <c r="C5" s="402"/>
      <c r="D5" s="402"/>
      <c r="E5" s="402"/>
      <c r="F5" s="52" t="s">
        <v>156</v>
      </c>
      <c r="G5" s="52" t="str">
        <f>Index!C10</f>
        <v>F3</v>
      </c>
    </row>
    <row r="6" spans="1:8" ht="15" customHeight="1">
      <c r="A6" s="399"/>
      <c r="B6" s="399"/>
      <c r="C6" s="399"/>
      <c r="D6" s="399"/>
      <c r="E6" s="399"/>
      <c r="F6" s="399"/>
      <c r="G6" s="399"/>
    </row>
    <row r="7" spans="1:8" ht="20.25" customHeight="1">
      <c r="A7" s="9"/>
      <c r="B7" s="9" t="s">
        <v>18</v>
      </c>
      <c r="C7" s="31" t="s">
        <v>120</v>
      </c>
      <c r="D7" s="73" t="s">
        <v>165</v>
      </c>
      <c r="E7" s="73" t="s">
        <v>166</v>
      </c>
      <c r="F7" s="73" t="s">
        <v>167</v>
      </c>
      <c r="G7" s="73" t="s">
        <v>748</v>
      </c>
    </row>
    <row r="8" spans="1:8" ht="20.25" customHeight="1">
      <c r="A8" s="9"/>
      <c r="B8" s="9"/>
      <c r="C8" s="31"/>
      <c r="D8" s="31" t="s">
        <v>24</v>
      </c>
      <c r="E8" s="31" t="s">
        <v>24</v>
      </c>
      <c r="F8" s="31" t="s">
        <v>8</v>
      </c>
      <c r="G8" s="9" t="s">
        <v>45</v>
      </c>
    </row>
    <row r="9" spans="1:8" ht="20.25" customHeight="1">
      <c r="A9" s="9"/>
      <c r="B9" s="81"/>
      <c r="C9" s="82"/>
      <c r="D9" s="82"/>
      <c r="E9" s="82"/>
      <c r="F9" s="31"/>
      <c r="G9" s="31"/>
    </row>
    <row r="10" spans="1:8" ht="20.25" customHeight="1">
      <c r="A10" s="82">
        <v>1</v>
      </c>
      <c r="B10" s="81" t="s">
        <v>210</v>
      </c>
      <c r="C10" s="82" t="s">
        <v>23</v>
      </c>
      <c r="D10" s="283">
        <v>0.14000000000000001</v>
      </c>
      <c r="E10" s="283">
        <v>0.14000000000000001</v>
      </c>
      <c r="F10" s="283">
        <v>0.14000000000000001</v>
      </c>
      <c r="G10" s="283">
        <v>0.14000000000000001</v>
      </c>
    </row>
    <row r="11" spans="1:8" ht="20.25" customHeight="1">
      <c r="A11" s="82">
        <f t="shared" ref="A11:A24" si="0">A10+1</f>
        <v>2</v>
      </c>
      <c r="B11" s="81" t="s">
        <v>211</v>
      </c>
      <c r="C11" s="82" t="s">
        <v>23</v>
      </c>
      <c r="D11" s="82"/>
      <c r="E11" s="82"/>
      <c r="F11" s="76"/>
      <c r="G11" s="74"/>
    </row>
    <row r="12" spans="1:8" ht="20.25" customHeight="1">
      <c r="A12" s="82">
        <f t="shared" si="0"/>
        <v>3</v>
      </c>
      <c r="B12" s="81" t="s">
        <v>212</v>
      </c>
      <c r="C12" s="82" t="s">
        <v>23</v>
      </c>
      <c r="D12" s="283">
        <v>0.75</v>
      </c>
      <c r="E12" s="283">
        <v>0.75</v>
      </c>
      <c r="F12" s="283">
        <v>0.75</v>
      </c>
      <c r="G12" s="283">
        <v>0.75</v>
      </c>
    </row>
    <row r="13" spans="1:8" ht="20.25" customHeight="1">
      <c r="A13" s="82">
        <f t="shared" si="0"/>
        <v>4</v>
      </c>
      <c r="B13" s="81" t="s">
        <v>213</v>
      </c>
      <c r="C13" s="82" t="s">
        <v>23</v>
      </c>
      <c r="D13" s="283">
        <v>0.1128</v>
      </c>
      <c r="E13" s="283">
        <v>0.1128</v>
      </c>
      <c r="F13" s="283">
        <v>0.15</v>
      </c>
      <c r="G13" s="283">
        <v>0.125</v>
      </c>
    </row>
    <row r="14" spans="1:8" ht="20.25" customHeight="1">
      <c r="A14" s="82">
        <f t="shared" si="0"/>
        <v>5</v>
      </c>
      <c r="B14" s="83" t="s">
        <v>214</v>
      </c>
      <c r="C14" s="82" t="s">
        <v>180</v>
      </c>
      <c r="D14" s="82">
        <v>3200</v>
      </c>
      <c r="E14" s="82">
        <v>3200</v>
      </c>
      <c r="F14" s="82">
        <v>3248</v>
      </c>
      <c r="G14" s="82">
        <v>3248</v>
      </c>
    </row>
    <row r="15" spans="1:8" ht="20.25" customHeight="1">
      <c r="A15" s="82">
        <f t="shared" si="0"/>
        <v>6</v>
      </c>
      <c r="B15" s="81" t="s">
        <v>209</v>
      </c>
      <c r="C15" s="82" t="s">
        <v>215</v>
      </c>
      <c r="D15" s="283">
        <v>5.876E-2</v>
      </c>
      <c r="E15" s="283">
        <v>5.876E-2</v>
      </c>
      <c r="F15" s="283">
        <v>5.876E-2</v>
      </c>
      <c r="G15" s="283">
        <v>5.876E-2</v>
      </c>
    </row>
    <row r="16" spans="1:8" ht="20.25" customHeight="1">
      <c r="A16" s="82">
        <f t="shared" si="0"/>
        <v>7</v>
      </c>
      <c r="B16" s="81" t="s">
        <v>219</v>
      </c>
      <c r="C16" s="82" t="s">
        <v>216</v>
      </c>
      <c r="D16" s="82"/>
      <c r="E16" s="82"/>
      <c r="F16" s="82"/>
      <c r="G16" s="82"/>
    </row>
    <row r="17" spans="1:7" ht="20.25" customHeight="1">
      <c r="A17" s="82">
        <f t="shared" si="0"/>
        <v>8</v>
      </c>
      <c r="B17" s="83" t="s">
        <v>220</v>
      </c>
      <c r="C17" s="82" t="s">
        <v>217</v>
      </c>
      <c r="D17" s="82"/>
      <c r="E17" s="82"/>
      <c r="F17" s="82"/>
      <c r="G17" s="82"/>
    </row>
    <row r="18" spans="1:7" ht="20.25" customHeight="1">
      <c r="A18" s="82">
        <f t="shared" si="0"/>
        <v>9</v>
      </c>
      <c r="B18" s="81" t="s">
        <v>218</v>
      </c>
      <c r="C18" s="82" t="s">
        <v>221</v>
      </c>
      <c r="D18" s="82"/>
      <c r="E18" s="82"/>
      <c r="F18" s="82"/>
      <c r="G18" s="82"/>
    </row>
    <row r="19" spans="1:7" ht="28.5" customHeight="1">
      <c r="A19" s="82">
        <f t="shared" si="0"/>
        <v>10</v>
      </c>
      <c r="B19" s="83" t="s">
        <v>222</v>
      </c>
      <c r="C19" s="82" t="s">
        <v>223</v>
      </c>
      <c r="D19" s="82">
        <v>2</v>
      </c>
      <c r="E19" s="82">
        <v>2</v>
      </c>
      <c r="F19" s="82">
        <v>2</v>
      </c>
      <c r="G19" s="82">
        <v>2</v>
      </c>
    </row>
    <row r="20" spans="1:7" ht="20.25" customHeight="1">
      <c r="A20" s="82">
        <f t="shared" si="0"/>
        <v>11</v>
      </c>
      <c r="B20" s="83" t="s">
        <v>224</v>
      </c>
      <c r="C20" s="82" t="s">
        <v>223</v>
      </c>
      <c r="D20" s="82">
        <v>2</v>
      </c>
      <c r="E20" s="82">
        <v>2</v>
      </c>
      <c r="F20" s="82">
        <v>2</v>
      </c>
      <c r="G20" s="82">
        <v>2</v>
      </c>
    </row>
    <row r="21" spans="1:7" ht="20.25" customHeight="1">
      <c r="A21" s="82">
        <f t="shared" si="0"/>
        <v>12</v>
      </c>
      <c r="B21" s="81" t="s">
        <v>225</v>
      </c>
      <c r="C21" s="82" t="s">
        <v>740</v>
      </c>
      <c r="D21" s="330"/>
      <c r="E21" s="330"/>
      <c r="F21" s="330"/>
      <c r="G21" s="330"/>
    </row>
    <row r="22" spans="1:7" ht="20.25" customHeight="1">
      <c r="A22" s="82">
        <f t="shared" si="0"/>
        <v>13</v>
      </c>
      <c r="B22" s="81" t="s">
        <v>226</v>
      </c>
      <c r="C22" s="82" t="s">
        <v>227</v>
      </c>
      <c r="D22" s="406">
        <v>0.2</v>
      </c>
      <c r="E22" s="406"/>
      <c r="F22" s="406"/>
      <c r="G22" s="406"/>
    </row>
    <row r="23" spans="1:7" ht="20.25" customHeight="1">
      <c r="A23" s="82">
        <f t="shared" si="0"/>
        <v>14</v>
      </c>
      <c r="B23" s="81" t="s">
        <v>228</v>
      </c>
      <c r="C23" s="82" t="s">
        <v>223</v>
      </c>
      <c r="D23" s="82">
        <v>2</v>
      </c>
      <c r="E23" s="82">
        <v>2</v>
      </c>
      <c r="F23" s="82">
        <v>2</v>
      </c>
      <c r="G23" s="82">
        <v>2</v>
      </c>
    </row>
    <row r="24" spans="1:7" ht="20.25" customHeight="1">
      <c r="A24" s="82">
        <f t="shared" si="0"/>
        <v>15</v>
      </c>
      <c r="B24" s="81" t="s">
        <v>750</v>
      </c>
      <c r="C24" s="82" t="s">
        <v>23</v>
      </c>
      <c r="D24" s="315">
        <v>0.13500000000000001</v>
      </c>
      <c r="E24" s="315">
        <v>0.13500000000000001</v>
      </c>
      <c r="F24" s="315">
        <v>0.13500000000000001</v>
      </c>
      <c r="G24" s="315">
        <v>0.13500000000000001</v>
      </c>
    </row>
    <row r="25" spans="1:7" ht="20.25" customHeight="1">
      <c r="A25" s="9"/>
      <c r="B25" s="81"/>
      <c r="C25" s="82"/>
      <c r="D25" s="82"/>
      <c r="E25" s="82"/>
      <c r="F25" s="82"/>
      <c r="G25" s="82"/>
    </row>
    <row r="26" spans="1:7" ht="20.25" customHeight="1">
      <c r="B26" s="84"/>
      <c r="C26" s="84"/>
      <c r="D26" s="84"/>
      <c r="E26" s="84"/>
      <c r="F26" s="84"/>
      <c r="G26" s="84"/>
    </row>
    <row r="27" spans="1:7">
      <c r="B27" s="84"/>
    </row>
    <row r="28" spans="1:7">
      <c r="B28" s="84"/>
    </row>
    <row r="29" spans="1:7">
      <c r="B29" s="84"/>
    </row>
    <row r="30" spans="1:7">
      <c r="B30" s="84"/>
    </row>
    <row r="31" spans="1:7">
      <c r="B31" s="84"/>
    </row>
    <row r="32" spans="1:7">
      <c r="B32" s="84"/>
    </row>
    <row r="35" ht="12.75" customHeight="1"/>
  </sheetData>
  <mergeCells count="9">
    <mergeCell ref="C3:G3"/>
    <mergeCell ref="A6:G6"/>
    <mergeCell ref="D22:G22"/>
    <mergeCell ref="A1:G1"/>
    <mergeCell ref="A4:G4"/>
    <mergeCell ref="A2:B2"/>
    <mergeCell ref="A3:B3"/>
    <mergeCell ref="C2:G2"/>
    <mergeCell ref="A5:E5"/>
  </mergeCells>
  <phoneticPr fontId="0" type="noConversion"/>
  <pageMargins left="0.9" right="0.36" top="1" bottom="1" header="0.5" footer="0.5"/>
  <pageSetup paperSize="9" scale="70" orientation="portrait" r:id="rId1"/>
  <headerFooter alignWithMargins="0">
    <oddFooter>&amp;LTariff Petition for determination of tariff for FY 2015-16, approval of estimate for 2014-15 and truing up for  FY 2012-13 to FY 2013-14 for RPH</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I53"/>
  <sheetViews>
    <sheetView showGridLines="0" topLeftCell="C25" zoomScaleSheetLayoutView="80" workbookViewId="0">
      <selection activeCell="I43" sqref="I43"/>
    </sheetView>
  </sheetViews>
  <sheetFormatPr defaultColWidth="14.7109375" defaultRowHeight="12.75"/>
  <cols>
    <col min="1" max="1" width="4.28515625" style="25" bestFit="1" customWidth="1"/>
    <col min="2" max="2" width="50" style="24" customWidth="1"/>
    <col min="3" max="3" width="13.85546875" style="25" bestFit="1" customWidth="1"/>
    <col min="4" max="5" width="11.7109375" style="25" customWidth="1"/>
    <col min="6" max="6" width="21.42578125" style="25" customWidth="1"/>
    <col min="7" max="7" width="11.7109375" style="25" customWidth="1"/>
    <col min="8" max="16384" width="14.7109375" style="24"/>
  </cols>
  <sheetData>
    <row r="1" spans="1:7" s="10" customFormat="1" ht="15" customHeight="1">
      <c r="A1" s="398"/>
      <c r="B1" s="398"/>
      <c r="C1" s="398"/>
      <c r="D1" s="398"/>
      <c r="E1" s="398"/>
      <c r="F1" s="398"/>
      <c r="G1" s="398"/>
    </row>
    <row r="2" spans="1:7" s="10" customFormat="1" ht="15" customHeight="1">
      <c r="A2" s="400" t="str">
        <f>[15]Index!A2:C2</f>
        <v>Name of Company:</v>
      </c>
      <c r="B2" s="400"/>
      <c r="C2" s="401" t="str">
        <f>[15]Index!D2</f>
        <v>INDRAPRASTHA POWER GENERATION COMPANY LIMITED</v>
      </c>
      <c r="D2" s="401"/>
      <c r="E2" s="401"/>
      <c r="F2" s="401"/>
      <c r="G2" s="401"/>
    </row>
    <row r="3" spans="1:7" s="10" customFormat="1" ht="15" customHeight="1">
      <c r="A3" s="400" t="str">
        <f>[15]Index!A3:C3</f>
        <v>Name of Plant/  Station:</v>
      </c>
      <c r="B3" s="400"/>
      <c r="C3" s="401" t="str">
        <f>[15]Index!D3</f>
        <v>RAJGHAT POWER HOUSE</v>
      </c>
      <c r="D3" s="401"/>
      <c r="E3" s="401"/>
      <c r="F3" s="401"/>
      <c r="G3" s="401"/>
    </row>
    <row r="4" spans="1:7" s="56" customFormat="1" ht="15" customHeight="1">
      <c r="A4" s="398"/>
      <c r="B4" s="398"/>
      <c r="C4" s="398"/>
      <c r="D4" s="398"/>
      <c r="E4" s="398"/>
      <c r="F4" s="398"/>
      <c r="G4" s="398"/>
    </row>
    <row r="5" spans="1:7" s="10" customFormat="1">
      <c r="A5" s="402" t="str">
        <f>[15]Index!D11</f>
        <v>Generation Details and Variable Cost</v>
      </c>
      <c r="B5" s="402"/>
      <c r="C5" s="402"/>
      <c r="D5" s="402"/>
      <c r="E5" s="402"/>
      <c r="F5" s="52" t="s">
        <v>156</v>
      </c>
      <c r="G5" s="52" t="str">
        <f>Index!C11</f>
        <v>F4</v>
      </c>
    </row>
    <row r="6" spans="1:7" s="10" customFormat="1">
      <c r="A6" s="399"/>
      <c r="B6" s="399"/>
      <c r="C6" s="399"/>
      <c r="D6" s="399"/>
      <c r="E6" s="399"/>
      <c r="F6" s="399"/>
      <c r="G6" s="399"/>
    </row>
    <row r="7" spans="1:7">
      <c r="A7" s="396"/>
      <c r="B7" s="397" t="s">
        <v>18</v>
      </c>
      <c r="C7" s="397" t="s">
        <v>120</v>
      </c>
      <c r="D7" s="73" t="s">
        <v>165</v>
      </c>
      <c r="E7" s="73" t="s">
        <v>166</v>
      </c>
      <c r="F7" s="73" t="s">
        <v>167</v>
      </c>
      <c r="G7" s="73" t="s">
        <v>748</v>
      </c>
    </row>
    <row r="8" spans="1:7">
      <c r="A8" s="396"/>
      <c r="B8" s="397"/>
      <c r="C8" s="397"/>
      <c r="D8" s="31" t="s">
        <v>24</v>
      </c>
      <c r="E8" s="31" t="s">
        <v>24</v>
      </c>
      <c r="F8" s="31" t="s">
        <v>8</v>
      </c>
      <c r="G8" s="31" t="s">
        <v>45</v>
      </c>
    </row>
    <row r="9" spans="1:7" ht="15" customHeight="1">
      <c r="A9" s="68">
        <v>1</v>
      </c>
      <c r="B9" s="59" t="s">
        <v>118</v>
      </c>
      <c r="C9" s="60" t="s">
        <v>113</v>
      </c>
      <c r="D9" s="319">
        <v>135</v>
      </c>
      <c r="E9" s="319">
        <v>135</v>
      </c>
      <c r="F9" s="320">
        <v>135</v>
      </c>
      <c r="G9" s="320">
        <v>135</v>
      </c>
    </row>
    <row r="10" spans="1:7" ht="15" customHeight="1">
      <c r="A10" s="68">
        <f t="shared" ref="A10:A15" si="0">A9+1</f>
        <v>2</v>
      </c>
      <c r="B10" s="59" t="s">
        <v>229</v>
      </c>
      <c r="C10" s="60" t="s">
        <v>23</v>
      </c>
      <c r="D10" s="321">
        <v>0.6704</v>
      </c>
      <c r="E10" s="321">
        <v>0.32119999999999999</v>
      </c>
      <c r="F10" s="321">
        <v>0.75</v>
      </c>
      <c r="G10" s="321">
        <v>0.75</v>
      </c>
    </row>
    <row r="11" spans="1:7" ht="15" customHeight="1">
      <c r="A11" s="68">
        <f t="shared" si="0"/>
        <v>3</v>
      </c>
      <c r="B11" s="59" t="s">
        <v>230</v>
      </c>
      <c r="C11" s="60" t="s">
        <v>9</v>
      </c>
      <c r="D11" s="322">
        <v>792.79899999999998</v>
      </c>
      <c r="E11" s="322">
        <v>379.88299999999998</v>
      </c>
      <c r="F11" s="322">
        <f>F9*F10*24*365/1000</f>
        <v>886.95</v>
      </c>
      <c r="G11" s="322">
        <f>G9*G10*24*366/1000</f>
        <v>889.38</v>
      </c>
    </row>
    <row r="12" spans="1:7" s="10" customFormat="1" ht="15" customHeight="1">
      <c r="A12" s="68">
        <f t="shared" si="0"/>
        <v>4</v>
      </c>
      <c r="B12" s="63" t="s">
        <v>231</v>
      </c>
      <c r="C12" s="64" t="s">
        <v>23</v>
      </c>
      <c r="D12" s="323">
        <f>D13/D11</f>
        <v>0.13272216539122778</v>
      </c>
      <c r="E12" s="323">
        <f>E13/E11</f>
        <v>0.15157824909248374</v>
      </c>
      <c r="F12" s="324">
        <v>0.15</v>
      </c>
      <c r="G12" s="324">
        <v>0.125</v>
      </c>
    </row>
    <row r="13" spans="1:7" s="10" customFormat="1" ht="15" customHeight="1">
      <c r="A13" s="68">
        <f t="shared" si="0"/>
        <v>5</v>
      </c>
      <c r="B13" s="63" t="s">
        <v>231</v>
      </c>
      <c r="C13" s="64" t="s">
        <v>9</v>
      </c>
      <c r="D13" s="325">
        <v>105.22199999999999</v>
      </c>
      <c r="E13" s="325">
        <v>57.582000000000001</v>
      </c>
      <c r="F13" s="326">
        <f>F12*F11</f>
        <v>133.04249999999999</v>
      </c>
      <c r="G13" s="326">
        <f>G12*G11</f>
        <v>111.1725</v>
      </c>
    </row>
    <row r="14" spans="1:7" s="10" customFormat="1" ht="15" customHeight="1">
      <c r="A14" s="68">
        <f t="shared" si="0"/>
        <v>6</v>
      </c>
      <c r="B14" s="63" t="s">
        <v>0</v>
      </c>
      <c r="C14" s="64" t="s">
        <v>9</v>
      </c>
      <c r="D14" s="327">
        <f>D11-D13</f>
        <v>687.577</v>
      </c>
      <c r="E14" s="327">
        <f>E11-E13</f>
        <v>322.30099999999999</v>
      </c>
      <c r="F14" s="326">
        <f>F11-F13</f>
        <v>753.90750000000003</v>
      </c>
      <c r="G14" s="326">
        <f>G11-G13</f>
        <v>778.20749999999998</v>
      </c>
    </row>
    <row r="15" spans="1:7" s="10" customFormat="1" ht="15" customHeight="1">
      <c r="A15" s="68">
        <f t="shared" si="0"/>
        <v>7</v>
      </c>
      <c r="B15" s="63" t="s">
        <v>117</v>
      </c>
      <c r="C15" s="64" t="s">
        <v>232</v>
      </c>
      <c r="D15" s="328">
        <v>3317</v>
      </c>
      <c r="E15" s="328">
        <v>3381</v>
      </c>
      <c r="F15" s="329">
        <v>3248</v>
      </c>
      <c r="G15" s="326">
        <v>3248</v>
      </c>
    </row>
    <row r="16" spans="1:7" s="10" customFormat="1" ht="15" customHeight="1">
      <c r="A16" s="68"/>
      <c r="B16" s="63"/>
      <c r="C16" s="64"/>
      <c r="D16" s="64"/>
      <c r="E16" s="64"/>
      <c r="F16" s="78"/>
      <c r="G16" s="78"/>
    </row>
    <row r="17" spans="1:8" s="10" customFormat="1" ht="15" customHeight="1">
      <c r="A17" s="68"/>
      <c r="B17" s="61" t="s">
        <v>244</v>
      </c>
      <c r="C17" s="64"/>
      <c r="D17" s="64"/>
      <c r="E17" s="64"/>
      <c r="F17" s="78"/>
      <c r="G17" s="78"/>
    </row>
    <row r="18" spans="1:8" ht="15" customHeight="1">
      <c r="A18" s="68">
        <f>A15+1</f>
        <v>8</v>
      </c>
      <c r="B18" s="63" t="s">
        <v>233</v>
      </c>
      <c r="C18" s="64" t="s">
        <v>234</v>
      </c>
      <c r="D18" s="316">
        <v>3689</v>
      </c>
      <c r="E18" s="316">
        <v>3675</v>
      </c>
      <c r="F18" s="79">
        <v>3673</v>
      </c>
      <c r="G18" s="79">
        <v>3673</v>
      </c>
    </row>
    <row r="19" spans="1:8" ht="15" customHeight="1">
      <c r="A19" s="68">
        <f t="shared" ref="A19:A25" si="1">A18+1</f>
        <v>9</v>
      </c>
      <c r="B19" s="63" t="s">
        <v>238</v>
      </c>
      <c r="C19" s="64" t="s">
        <v>235</v>
      </c>
      <c r="D19" s="64">
        <v>717153.01</v>
      </c>
      <c r="E19" s="64">
        <v>346849.39</v>
      </c>
      <c r="F19" s="79">
        <v>782404.56273764267</v>
      </c>
      <c r="G19" s="79">
        <v>784548.13688212924</v>
      </c>
      <c r="H19" s="24">
        <f>((G11*G15)/G18)*1000</f>
        <v>786470.52545603039</v>
      </c>
    </row>
    <row r="20" spans="1:8" ht="15" customHeight="1">
      <c r="A20" s="68">
        <f t="shared" si="1"/>
        <v>10</v>
      </c>
      <c r="B20" s="63" t="s">
        <v>237</v>
      </c>
      <c r="C20" s="64" t="s">
        <v>236</v>
      </c>
      <c r="D20" s="280">
        <f>(D19/D11)/1000</f>
        <v>0.90458364604395325</v>
      </c>
      <c r="E20" s="280">
        <f>(E19/E11)/1000</f>
        <v>0.91304267366531278</v>
      </c>
      <c r="F20" s="280">
        <f>(F19/F11)/1000</f>
        <v>0.88212927756653992</v>
      </c>
      <c r="G20" s="280">
        <f>(G19/G11)/1000</f>
        <v>0.88212927756653992</v>
      </c>
    </row>
    <row r="21" spans="1:8" ht="15" customHeight="1">
      <c r="A21" s="68">
        <f t="shared" si="1"/>
        <v>11</v>
      </c>
      <c r="B21" s="63" t="s">
        <v>116</v>
      </c>
      <c r="C21" s="64" t="s">
        <v>235</v>
      </c>
      <c r="D21" s="64">
        <v>5718.41</v>
      </c>
      <c r="E21" s="64">
        <v>3054.45</v>
      </c>
      <c r="F21" s="316">
        <f>F23-F19</f>
        <v>9502.8894259632798</v>
      </c>
      <c r="G21" s="316">
        <f>G23-G19</f>
        <v>9528.9247394590639</v>
      </c>
    </row>
    <row r="22" spans="1:8" ht="15" customHeight="1">
      <c r="A22" s="68">
        <f t="shared" si="1"/>
        <v>12</v>
      </c>
      <c r="B22" s="63" t="s">
        <v>116</v>
      </c>
      <c r="C22" s="64" t="s">
        <v>23</v>
      </c>
      <c r="D22" s="316">
        <f>(D23/D21)%</f>
        <v>1.2641126117224895</v>
      </c>
      <c r="E22" s="316">
        <f>(E23/E21)%</f>
        <v>1.1455543223820985</v>
      </c>
      <c r="F22" s="334">
        <v>1.2E-2</v>
      </c>
      <c r="G22" s="334">
        <v>1.2E-2</v>
      </c>
    </row>
    <row r="23" spans="1:8" ht="15" customHeight="1">
      <c r="A23" s="68">
        <f t="shared" si="1"/>
        <v>13</v>
      </c>
      <c r="B23" s="66" t="s">
        <v>265</v>
      </c>
      <c r="C23" s="60" t="s">
        <v>235</v>
      </c>
      <c r="D23" s="60">
        <f>D19+D21</f>
        <v>722871.42</v>
      </c>
      <c r="E23" s="60">
        <f>E19+E21</f>
        <v>349903.84</v>
      </c>
      <c r="F23" s="79">
        <f>F19/(1-F22)</f>
        <v>791907.45216360595</v>
      </c>
      <c r="G23" s="79">
        <f>G19/(1-G22)</f>
        <v>794077.06162158831</v>
      </c>
    </row>
    <row r="24" spans="1:8" ht="15" customHeight="1">
      <c r="A24" s="68">
        <f t="shared" si="1"/>
        <v>14</v>
      </c>
      <c r="B24" s="66" t="s">
        <v>243</v>
      </c>
      <c r="C24" s="60" t="s">
        <v>216</v>
      </c>
      <c r="D24" s="60">
        <v>3095.82</v>
      </c>
      <c r="E24" s="60">
        <v>3331.28</v>
      </c>
      <c r="F24" s="79">
        <v>3438</v>
      </c>
      <c r="G24" s="79">
        <v>3438</v>
      </c>
    </row>
    <row r="25" spans="1:8" ht="15" customHeight="1">
      <c r="A25" s="68">
        <f t="shared" si="1"/>
        <v>15</v>
      </c>
      <c r="B25" s="66" t="s">
        <v>219</v>
      </c>
      <c r="C25" s="60" t="s">
        <v>678</v>
      </c>
      <c r="D25" s="60">
        <v>222.02</v>
      </c>
      <c r="E25" s="60">
        <v>115.54</v>
      </c>
      <c r="F25" s="79">
        <f>(F23*F24)/10000000</f>
        <v>272.25778205384773</v>
      </c>
      <c r="G25" s="79">
        <f>(G23*G24)/10000000</f>
        <v>273.00369378550204</v>
      </c>
      <c r="H25" s="24">
        <f>G23*G24</f>
        <v>2730036937.8550205</v>
      </c>
    </row>
    <row r="26" spans="1:8" ht="15" customHeight="1">
      <c r="A26" s="68"/>
      <c r="B26" s="66"/>
      <c r="C26" s="60"/>
      <c r="D26" s="60"/>
      <c r="E26" s="60"/>
      <c r="F26" s="79"/>
      <c r="G26" s="79"/>
    </row>
    <row r="27" spans="1:8" ht="15" customHeight="1">
      <c r="A27" s="68"/>
      <c r="B27" s="85" t="s">
        <v>245</v>
      </c>
      <c r="C27" s="60"/>
      <c r="D27" s="60"/>
      <c r="E27" s="60"/>
      <c r="F27" s="79"/>
      <c r="G27" s="79"/>
    </row>
    <row r="28" spans="1:8" ht="15" customHeight="1">
      <c r="A28" s="68">
        <f>A25+1</f>
        <v>16</v>
      </c>
      <c r="B28" s="66" t="s">
        <v>239</v>
      </c>
      <c r="C28" s="60" t="s">
        <v>242</v>
      </c>
      <c r="D28" s="60"/>
      <c r="E28" s="60"/>
      <c r="F28" s="79"/>
      <c r="G28" s="79"/>
    </row>
    <row r="29" spans="1:8" ht="15" customHeight="1">
      <c r="A29" s="68">
        <f>A28+1</f>
        <v>17</v>
      </c>
      <c r="B29" s="66" t="s">
        <v>240</v>
      </c>
      <c r="C29" s="60" t="s">
        <v>241</v>
      </c>
      <c r="D29" s="60"/>
      <c r="E29" s="60"/>
      <c r="F29" s="79"/>
      <c r="G29" s="79"/>
    </row>
    <row r="30" spans="1:8" ht="15" customHeight="1">
      <c r="A30" s="68">
        <f>A29+1</f>
        <v>18</v>
      </c>
      <c r="B30" s="66" t="s">
        <v>249</v>
      </c>
      <c r="C30" s="60" t="s">
        <v>250</v>
      </c>
      <c r="D30" s="60"/>
      <c r="E30" s="60"/>
      <c r="F30" s="79"/>
      <c r="G30" s="79"/>
    </row>
    <row r="31" spans="1:8" ht="15" customHeight="1">
      <c r="A31" s="68">
        <f>A30+1</f>
        <v>19</v>
      </c>
      <c r="B31" s="66" t="s">
        <v>246</v>
      </c>
      <c r="C31" s="60" t="s">
        <v>221</v>
      </c>
      <c r="D31" s="60"/>
      <c r="E31" s="60"/>
      <c r="F31" s="79"/>
      <c r="G31" s="79"/>
    </row>
    <row r="32" spans="1:8" ht="15" customHeight="1">
      <c r="A32" s="68">
        <f>A31+1</f>
        <v>20</v>
      </c>
      <c r="B32" s="66" t="s">
        <v>247</v>
      </c>
      <c r="C32" s="60" t="s">
        <v>678</v>
      </c>
      <c r="D32" s="60"/>
      <c r="E32" s="60"/>
      <c r="F32" s="79"/>
      <c r="G32" s="79"/>
    </row>
    <row r="33" spans="1:9" ht="15" customHeight="1">
      <c r="A33" s="68"/>
      <c r="B33" s="66"/>
      <c r="C33" s="60"/>
      <c r="D33" s="60"/>
      <c r="E33" s="60"/>
      <c r="F33" s="79"/>
      <c r="G33" s="79"/>
    </row>
    <row r="34" spans="1:9" ht="15" customHeight="1">
      <c r="A34" s="68"/>
      <c r="B34" s="85" t="s">
        <v>253</v>
      </c>
      <c r="C34" s="60"/>
      <c r="D34" s="60"/>
      <c r="E34" s="60"/>
      <c r="F34" s="79"/>
      <c r="G34" s="79"/>
    </row>
    <row r="35" spans="1:9" ht="15" customHeight="1">
      <c r="A35" s="68">
        <f>A32+1</f>
        <v>21</v>
      </c>
      <c r="B35" s="66" t="s">
        <v>254</v>
      </c>
      <c r="C35" s="60" t="s">
        <v>251</v>
      </c>
      <c r="D35" s="60"/>
      <c r="E35" s="60"/>
      <c r="F35" s="79"/>
      <c r="G35" s="79"/>
    </row>
    <row r="36" spans="1:9" ht="15" customHeight="1">
      <c r="A36" s="68">
        <f>A35+1</f>
        <v>22</v>
      </c>
      <c r="B36" s="66" t="s">
        <v>255</v>
      </c>
      <c r="C36" s="60" t="s">
        <v>252</v>
      </c>
      <c r="D36" s="64">
        <v>2984.85</v>
      </c>
      <c r="E36" s="64">
        <v>2254.56</v>
      </c>
      <c r="F36" s="79">
        <v>5211.72</v>
      </c>
      <c r="G36" s="79">
        <v>5226</v>
      </c>
      <c r="H36" s="24">
        <f>5.876*F11</f>
        <v>5211.7182000000003</v>
      </c>
      <c r="I36" s="24">
        <f>5.876*G11</f>
        <v>5225.9968800000006</v>
      </c>
    </row>
    <row r="37" spans="1:9" ht="15" customHeight="1">
      <c r="A37" s="68">
        <f>A36+1</f>
        <v>23</v>
      </c>
      <c r="B37" s="66" t="s">
        <v>256</v>
      </c>
      <c r="C37" s="60" t="s">
        <v>215</v>
      </c>
      <c r="D37" s="79">
        <f>D36/D11</f>
        <v>3.764951772138966</v>
      </c>
      <c r="E37" s="79">
        <f>E36/E11</f>
        <v>5.9348799498793054</v>
      </c>
      <c r="F37" s="79">
        <f>F36/F11</f>
        <v>5.8760020294266866</v>
      </c>
      <c r="G37" s="79">
        <f>G36/G11</f>
        <v>5.8760035080617961</v>
      </c>
    </row>
    <row r="38" spans="1:9" ht="15" customHeight="1">
      <c r="A38" s="68">
        <f>A37+1</f>
        <v>24</v>
      </c>
      <c r="B38" s="66" t="s">
        <v>257</v>
      </c>
      <c r="C38" s="60" t="s">
        <v>217</v>
      </c>
      <c r="D38" s="325"/>
      <c r="E38" s="325"/>
      <c r="F38" s="331">
        <v>61000</v>
      </c>
      <c r="G38" s="331">
        <v>61000</v>
      </c>
    </row>
    <row r="39" spans="1:9" ht="15" customHeight="1">
      <c r="A39" s="68">
        <f>A38+1</f>
        <v>25</v>
      </c>
      <c r="B39" s="66" t="s">
        <v>258</v>
      </c>
      <c r="C39" s="60" t="s">
        <v>678</v>
      </c>
      <c r="D39" s="64">
        <v>13.06</v>
      </c>
      <c r="E39" s="64">
        <v>13.44</v>
      </c>
      <c r="F39" s="79">
        <f>F36*F38/10000000</f>
        <v>31.791492000000002</v>
      </c>
      <c r="G39" s="79">
        <f>G36*G38/10000000</f>
        <v>31.878599999999999</v>
      </c>
      <c r="H39" s="24">
        <f>F36*F38</f>
        <v>317914920</v>
      </c>
      <c r="I39" s="24">
        <f>G36*G38</f>
        <v>318786000</v>
      </c>
    </row>
    <row r="40" spans="1:9" ht="25.5" customHeight="1">
      <c r="A40" s="68">
        <v>26</v>
      </c>
      <c r="B40" s="301" t="s">
        <v>741</v>
      </c>
      <c r="C40" s="60" t="s">
        <v>742</v>
      </c>
      <c r="D40" s="316">
        <f>D39*5.25/D37</f>
        <v>18.211388657721493</v>
      </c>
      <c r="E40" s="316">
        <f>E39*5.25/E37</f>
        <v>11.889035767511176</v>
      </c>
      <c r="F40" s="316">
        <f>F39*5.876/F37</f>
        <v>31.791481020000006</v>
      </c>
      <c r="G40" s="316">
        <f>G39*5.876/G37</f>
        <v>31.878580968000001</v>
      </c>
    </row>
    <row r="41" spans="1:9" ht="15" customHeight="1">
      <c r="A41" s="68"/>
      <c r="B41" s="66"/>
      <c r="C41" s="60"/>
      <c r="D41" s="60"/>
      <c r="E41" s="60"/>
      <c r="F41" s="79"/>
      <c r="G41" s="79"/>
    </row>
    <row r="42" spans="1:9" ht="15" customHeight="1">
      <c r="A42" s="68"/>
      <c r="B42" s="61" t="s">
        <v>260</v>
      </c>
      <c r="C42" s="76" t="s">
        <v>678</v>
      </c>
      <c r="D42" s="281">
        <f>D25</f>
        <v>222.02</v>
      </c>
      <c r="E42" s="281">
        <f>E25</f>
        <v>115.54</v>
      </c>
      <c r="F42" s="281">
        <f>F25</f>
        <v>272.25778205384773</v>
      </c>
      <c r="G42" s="281">
        <f>G25</f>
        <v>273.00369378550204</v>
      </c>
    </row>
    <row r="43" spans="1:9" ht="15" customHeight="1">
      <c r="A43" s="68"/>
      <c r="B43" s="61" t="s">
        <v>261</v>
      </c>
      <c r="C43" s="76" t="s">
        <v>678</v>
      </c>
      <c r="D43" s="76"/>
      <c r="E43" s="76"/>
      <c r="F43" s="281"/>
      <c r="G43" s="281"/>
    </row>
    <row r="44" spans="1:9" ht="15" customHeight="1">
      <c r="A44" s="68"/>
      <c r="B44" s="61" t="s">
        <v>262</v>
      </c>
      <c r="C44" s="76" t="s">
        <v>678</v>
      </c>
      <c r="D44" s="281">
        <f>D39</f>
        <v>13.06</v>
      </c>
      <c r="E44" s="281">
        <f>E39</f>
        <v>13.44</v>
      </c>
      <c r="F44" s="281">
        <f>F39</f>
        <v>31.791492000000002</v>
      </c>
      <c r="G44" s="281">
        <f>G39</f>
        <v>31.878599999999999</v>
      </c>
    </row>
    <row r="45" spans="1:9" ht="15" customHeight="1">
      <c r="A45" s="394"/>
      <c r="B45" s="395"/>
      <c r="C45" s="395"/>
      <c r="D45" s="395"/>
      <c r="E45" s="395"/>
      <c r="F45" s="395"/>
      <c r="G45" s="395"/>
    </row>
    <row r="46" spans="1:9" ht="15" customHeight="1">
      <c r="A46" s="69" t="s">
        <v>21</v>
      </c>
      <c r="B46" s="61" t="s">
        <v>160</v>
      </c>
      <c r="C46" s="62"/>
      <c r="D46" s="62"/>
      <c r="E46" s="62"/>
      <c r="F46" s="77"/>
      <c r="G46" s="77"/>
    </row>
    <row r="47" spans="1:9" ht="15" customHeight="1">
      <c r="A47" s="68"/>
      <c r="B47" s="63" t="s">
        <v>263</v>
      </c>
      <c r="C47" s="64" t="s">
        <v>259</v>
      </c>
      <c r="D47" s="282">
        <f>(D42/D14)*10</f>
        <v>3.2290201679230108</v>
      </c>
      <c r="E47" s="282">
        <f>(E42/E14)*10</f>
        <v>3.5848477044750098</v>
      </c>
      <c r="F47" s="282">
        <f>(F42/F14)*10</f>
        <v>3.6112889453128894</v>
      </c>
      <c r="G47" s="282">
        <f>(G42/G14)*10</f>
        <v>3.508109261161092</v>
      </c>
    </row>
    <row r="48" spans="1:9" ht="15" customHeight="1">
      <c r="A48" s="68"/>
      <c r="B48" s="63" t="s">
        <v>264</v>
      </c>
      <c r="C48" s="64" t="s">
        <v>259</v>
      </c>
      <c r="D48" s="64"/>
      <c r="E48" s="64"/>
      <c r="F48" s="74"/>
      <c r="G48" s="74"/>
    </row>
    <row r="49" spans="1:7" ht="15" customHeight="1">
      <c r="A49" s="57"/>
      <c r="B49" s="21"/>
      <c r="C49" s="22"/>
      <c r="D49" s="22"/>
      <c r="E49" s="22"/>
      <c r="F49" s="58"/>
      <c r="G49" s="58"/>
    </row>
    <row r="50" spans="1:7">
      <c r="B50" s="49"/>
    </row>
    <row r="51" spans="1:7">
      <c r="B51" s="54"/>
    </row>
    <row r="52" spans="1:7">
      <c r="B52" s="54"/>
    </row>
    <row r="53" spans="1:7" ht="12.75" customHeight="1">
      <c r="B53" s="55"/>
    </row>
  </sheetData>
  <mergeCells count="12">
    <mergeCell ref="A1:G1"/>
    <mergeCell ref="A4:G4"/>
    <mergeCell ref="A2:B2"/>
    <mergeCell ref="A3:B3"/>
    <mergeCell ref="C2:G2"/>
    <mergeCell ref="A5:E5"/>
    <mergeCell ref="C3:G3"/>
    <mergeCell ref="A45:G45"/>
    <mergeCell ref="A6:G6"/>
    <mergeCell ref="A7:A8"/>
    <mergeCell ref="B7:B8"/>
    <mergeCell ref="C7:C8"/>
  </mergeCells>
  <phoneticPr fontId="0" type="noConversion"/>
  <pageMargins left="0.9" right="0.36" top="1" bottom="1" header="0.5" footer="0.5"/>
  <pageSetup paperSize="9" scale="72" orientation="portrait" verticalDpi="300" r:id="rId1"/>
  <headerFooter alignWithMargins="0">
    <oddFooter>&amp;LTariff Petition for determination of tariff for FY 2015-16, approval of estimate for 2014-15 and truing up for  FY 2012-13 to FY 2013-14 for RPH</oddFooter>
  </headerFooter>
</worksheet>
</file>

<file path=xl/worksheets/sheet6.xml><?xml version="1.0" encoding="utf-8"?>
<worksheet xmlns="http://schemas.openxmlformats.org/spreadsheetml/2006/main" xmlns:r="http://schemas.openxmlformats.org/officeDocument/2006/relationships">
  <sheetPr enableFormatConditionsCalculation="0">
    <tabColor indexed="50"/>
  </sheetPr>
  <dimension ref="A1:D19"/>
  <sheetViews>
    <sheetView showGridLines="0" zoomScaleSheetLayoutView="80" workbookViewId="0">
      <selection activeCell="D22" sqref="D22"/>
    </sheetView>
  </sheetViews>
  <sheetFormatPr defaultRowHeight="12.75"/>
  <cols>
    <col min="1" max="1" width="3.42578125" bestFit="1" customWidth="1"/>
    <col min="2" max="2" width="55" customWidth="1"/>
    <col min="3" max="3" width="15.7109375" customWidth="1"/>
    <col min="4" max="4" width="38.28515625" customWidth="1"/>
  </cols>
  <sheetData>
    <row r="1" spans="1:4">
      <c r="A1" s="105"/>
      <c r="B1" s="105"/>
      <c r="C1" s="105"/>
      <c r="D1" s="105"/>
    </row>
    <row r="2" spans="1:4">
      <c r="A2" s="106" t="str">
        <f>Index!A2:C2</f>
        <v>Name of Company:</v>
      </c>
      <c r="B2" s="106"/>
      <c r="C2" s="401" t="str">
        <f>Index!D2</f>
        <v>INDRAPRASTHA POWER GENERATION COMPANY LIMITED</v>
      </c>
      <c r="D2" s="401"/>
    </row>
    <row r="3" spans="1:4">
      <c r="A3" s="400" t="str">
        <f>Index!A3:C3</f>
        <v>Name of Plant/  Station:</v>
      </c>
      <c r="B3" s="400"/>
      <c r="C3" s="401" t="str">
        <f>Index!D3</f>
        <v>Rajghat Power House</v>
      </c>
      <c r="D3" s="401"/>
    </row>
    <row r="4" spans="1:4">
      <c r="A4" s="105"/>
      <c r="B4" s="105"/>
      <c r="C4" s="105"/>
      <c r="D4" s="105"/>
    </row>
    <row r="5" spans="1:4">
      <c r="A5" s="52" t="str">
        <f>Index!D12</f>
        <v>Abstract of admitted Capital Cost for the existing Project</v>
      </c>
      <c r="B5" s="52"/>
      <c r="C5" s="52"/>
      <c r="D5" s="52" t="s">
        <v>767</v>
      </c>
    </row>
    <row r="6" spans="1:4">
      <c r="A6" s="107"/>
      <c r="B6" s="107"/>
      <c r="C6" s="107"/>
      <c r="D6" s="107"/>
    </row>
    <row r="7" spans="1:4" ht="25.5" customHeight="1">
      <c r="A7" s="31"/>
      <c r="B7" s="67" t="s">
        <v>18</v>
      </c>
      <c r="C7" s="67" t="s">
        <v>120</v>
      </c>
      <c r="D7" s="109" t="s">
        <v>308</v>
      </c>
    </row>
    <row r="8" spans="1:4">
      <c r="A8" s="63">
        <v>1</v>
      </c>
      <c r="B8" s="63" t="s">
        <v>307</v>
      </c>
      <c r="C8" s="64" t="s">
        <v>678</v>
      </c>
      <c r="D8" s="372">
        <v>226.3</v>
      </c>
    </row>
    <row r="9" spans="1:4">
      <c r="A9" s="63">
        <f t="shared" ref="A9:A14" si="0">A8+1</f>
        <v>2</v>
      </c>
      <c r="B9" s="63" t="s">
        <v>306</v>
      </c>
      <c r="C9" s="64"/>
      <c r="D9" s="372" t="s">
        <v>751</v>
      </c>
    </row>
    <row r="10" spans="1:4" ht="25.5">
      <c r="A10" s="63">
        <f t="shared" si="0"/>
        <v>3</v>
      </c>
      <c r="B10" s="108" t="s">
        <v>309</v>
      </c>
      <c r="C10" s="64"/>
      <c r="D10" s="373" t="s">
        <v>716</v>
      </c>
    </row>
    <row r="11" spans="1:4">
      <c r="A11" s="63">
        <f t="shared" si="0"/>
        <v>4</v>
      </c>
      <c r="B11" s="63" t="s">
        <v>310</v>
      </c>
      <c r="C11" s="64" t="s">
        <v>678</v>
      </c>
      <c r="D11" s="372">
        <f>D8</f>
        <v>226.3</v>
      </c>
    </row>
    <row r="12" spans="1:4">
      <c r="A12" s="63">
        <f t="shared" si="0"/>
        <v>5</v>
      </c>
      <c r="B12" s="63" t="s">
        <v>311</v>
      </c>
      <c r="C12" s="64"/>
      <c r="D12" s="373" t="s">
        <v>716</v>
      </c>
    </row>
    <row r="13" spans="1:4">
      <c r="A13" s="63">
        <f t="shared" si="0"/>
        <v>6</v>
      </c>
      <c r="B13" s="108" t="s">
        <v>312</v>
      </c>
      <c r="C13" s="64"/>
      <c r="D13" s="373" t="s">
        <v>716</v>
      </c>
    </row>
    <row r="14" spans="1:4">
      <c r="A14" s="63">
        <f t="shared" si="0"/>
        <v>7</v>
      </c>
      <c r="B14" s="63" t="s">
        <v>313</v>
      </c>
      <c r="C14" s="64" t="s">
        <v>678</v>
      </c>
      <c r="D14" s="372">
        <f>D8</f>
        <v>226.3</v>
      </c>
    </row>
    <row r="15" spans="1:4">
      <c r="A15" s="1"/>
      <c r="B15" s="3"/>
      <c r="C15" s="103"/>
      <c r="D15" s="3"/>
    </row>
    <row r="16" spans="1:4">
      <c r="A16" s="1"/>
      <c r="B16" s="407"/>
      <c r="C16" s="407"/>
      <c r="D16" s="407"/>
    </row>
    <row r="17" spans="1:4">
      <c r="A17" s="1"/>
      <c r="B17" s="3"/>
      <c r="C17" s="103"/>
      <c r="D17" s="3"/>
    </row>
    <row r="18" spans="1:4">
      <c r="A18" s="1"/>
      <c r="B18" s="3"/>
      <c r="C18" s="103"/>
      <c r="D18" s="3"/>
    </row>
    <row r="19" spans="1:4">
      <c r="A19" s="1"/>
      <c r="B19" s="3"/>
      <c r="C19" s="103"/>
      <c r="D19" s="3"/>
    </row>
  </sheetData>
  <mergeCells count="4">
    <mergeCell ref="A3:B3"/>
    <mergeCell ref="C2:D2"/>
    <mergeCell ref="C3:D3"/>
    <mergeCell ref="B16:D16"/>
  </mergeCells>
  <phoneticPr fontId="0" type="noConversion"/>
  <pageMargins left="0.9" right="0.36" top="1" bottom="1" header="0.5" footer="0.5"/>
  <pageSetup paperSize="9" scale="79" orientation="portrait" r:id="rId1"/>
  <headerFooter>
    <oddFooter>&amp;LTariff Petition for determination of tariff for FY 2015-16, approval of estimate for 2014-15 and truing up for  FY 2012-13 to FY 2013-14 for RPH</oddFooter>
  </headerFooter>
</worksheet>
</file>

<file path=xl/worksheets/sheet7.xml><?xml version="1.0" encoding="utf-8"?>
<worksheet xmlns="http://schemas.openxmlformats.org/spreadsheetml/2006/main" xmlns:r="http://schemas.openxmlformats.org/officeDocument/2006/relationships">
  <sheetPr enableFormatConditionsCalculation="0">
    <tabColor indexed="50"/>
    <pageSetUpPr fitToPage="1"/>
  </sheetPr>
  <dimension ref="A1:N46"/>
  <sheetViews>
    <sheetView showGridLines="0" topLeftCell="C5" zoomScaleSheetLayoutView="80" workbookViewId="0">
      <selection activeCell="N5" sqref="N5"/>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5"/>
      <c r="B1" s="105"/>
      <c r="C1" s="105"/>
      <c r="D1" s="105"/>
      <c r="E1" s="105"/>
    </row>
    <row r="2" spans="1:14">
      <c r="A2" s="400" t="str">
        <f>Index!A2:C2</f>
        <v>Name of Company:</v>
      </c>
      <c r="B2" s="400"/>
      <c r="C2" s="401" t="str">
        <f>Index!D2</f>
        <v>INDRAPRASTHA POWER GENERATION COMPANY LIMITED</v>
      </c>
      <c r="D2" s="401"/>
      <c r="E2" s="401"/>
      <c r="F2" s="401"/>
      <c r="G2" s="401"/>
      <c r="H2" s="401"/>
      <c r="I2" s="401"/>
      <c r="J2" s="401"/>
      <c r="K2" s="401"/>
      <c r="L2" s="401"/>
      <c r="M2" s="401"/>
      <c r="N2" s="401"/>
    </row>
    <row r="3" spans="1:14">
      <c r="A3" s="400" t="str">
        <f>Index!A3:C3</f>
        <v>Name of Plant/  Station:</v>
      </c>
      <c r="B3" s="400"/>
      <c r="C3" s="401" t="str">
        <f>Index!D3</f>
        <v>Rajghat Power House</v>
      </c>
      <c r="D3" s="401"/>
      <c r="E3" s="401"/>
      <c r="F3" s="401"/>
      <c r="G3" s="401"/>
      <c r="H3" s="401"/>
      <c r="I3" s="401"/>
      <c r="J3" s="401"/>
      <c r="K3" s="401"/>
      <c r="L3" s="401"/>
      <c r="M3" s="401"/>
      <c r="N3" s="401"/>
    </row>
    <row r="4" spans="1:14">
      <c r="A4" s="105"/>
      <c r="B4" s="105"/>
      <c r="C4" s="105"/>
      <c r="D4" s="105"/>
      <c r="E4" s="105"/>
    </row>
    <row r="5" spans="1:14">
      <c r="A5" s="402" t="str">
        <f>Index!D13</f>
        <v>Details of Foreign Loans</v>
      </c>
      <c r="B5" s="402"/>
      <c r="C5" s="402"/>
      <c r="D5" s="402"/>
      <c r="E5" s="402"/>
      <c r="F5" s="402"/>
      <c r="G5" s="402"/>
      <c r="H5" s="402"/>
      <c r="I5" s="402"/>
      <c r="J5" s="402"/>
      <c r="K5" s="402"/>
      <c r="L5" s="402"/>
      <c r="M5" s="52" t="s">
        <v>156</v>
      </c>
      <c r="N5" s="207" t="str">
        <f>Index!C13</f>
        <v>F6</v>
      </c>
    </row>
    <row r="6" spans="1:14">
      <c r="A6" s="408" t="s">
        <v>316</v>
      </c>
      <c r="B6" s="408"/>
      <c r="C6" s="408"/>
      <c r="D6" s="408"/>
      <c r="E6" s="408"/>
      <c r="F6" s="408"/>
      <c r="G6" s="408"/>
      <c r="H6" s="408"/>
      <c r="I6" s="408"/>
      <c r="J6" s="408"/>
      <c r="K6" s="408"/>
      <c r="L6" s="408"/>
      <c r="M6" s="408"/>
      <c r="N6" s="408"/>
    </row>
    <row r="7" spans="1:14">
      <c r="A7" s="31"/>
      <c r="B7" s="304" t="s">
        <v>18</v>
      </c>
      <c r="C7" s="410" t="s">
        <v>317</v>
      </c>
      <c r="D7" s="410"/>
      <c r="E7" s="410"/>
      <c r="F7" s="410"/>
      <c r="G7" s="410" t="s">
        <v>332</v>
      </c>
      <c r="H7" s="410"/>
      <c r="I7" s="410"/>
      <c r="J7" s="410"/>
      <c r="K7" s="410" t="s">
        <v>333</v>
      </c>
      <c r="L7" s="410"/>
      <c r="M7" s="410"/>
      <c r="N7" s="410"/>
    </row>
    <row r="8" spans="1:14" ht="38.25">
      <c r="A8" s="63"/>
      <c r="B8" s="97"/>
      <c r="C8" s="109" t="s">
        <v>318</v>
      </c>
      <c r="D8" s="109" t="s">
        <v>322</v>
      </c>
      <c r="E8" s="109" t="s">
        <v>320</v>
      </c>
      <c r="F8" s="109" t="s">
        <v>321</v>
      </c>
      <c r="G8" s="109" t="s">
        <v>318</v>
      </c>
      <c r="H8" s="109" t="s">
        <v>322</v>
      </c>
      <c r="I8" s="109" t="s">
        <v>320</v>
      </c>
      <c r="J8" s="109" t="s">
        <v>321</v>
      </c>
      <c r="K8" s="109" t="s">
        <v>318</v>
      </c>
      <c r="L8" s="109" t="s">
        <v>322</v>
      </c>
      <c r="M8" s="109" t="s">
        <v>320</v>
      </c>
      <c r="N8" s="109" t="s">
        <v>321</v>
      </c>
    </row>
    <row r="9" spans="1:14" ht="14.25">
      <c r="A9" s="63"/>
      <c r="B9" s="305" t="s">
        <v>334</v>
      </c>
      <c r="C9" s="109"/>
      <c r="D9" s="109"/>
      <c r="E9" s="109"/>
      <c r="F9" s="109"/>
      <c r="G9" s="109"/>
      <c r="H9" s="109"/>
      <c r="I9" s="109"/>
      <c r="J9" s="109"/>
      <c r="K9" s="109"/>
      <c r="L9" s="109"/>
      <c r="M9" s="109"/>
      <c r="N9" s="109"/>
    </row>
    <row r="10" spans="1:14" ht="14.25">
      <c r="A10" s="63"/>
      <c r="B10" s="306" t="s">
        <v>327</v>
      </c>
      <c r="C10" s="109"/>
      <c r="D10" s="411" t="s">
        <v>744</v>
      </c>
      <c r="E10" s="411"/>
      <c r="F10" s="411"/>
      <c r="G10" s="411"/>
      <c r="H10" s="411"/>
      <c r="I10" s="411"/>
      <c r="J10" s="411"/>
      <c r="K10" s="411"/>
      <c r="L10" s="411"/>
      <c r="M10" s="411"/>
      <c r="N10" s="411"/>
    </row>
    <row r="11" spans="1:14">
      <c r="A11" s="63"/>
      <c r="B11" s="97" t="s">
        <v>324</v>
      </c>
      <c r="C11" s="109"/>
      <c r="D11" s="411"/>
      <c r="E11" s="411"/>
      <c r="F11" s="411"/>
      <c r="G11" s="411"/>
      <c r="H11" s="411"/>
      <c r="I11" s="411"/>
      <c r="J11" s="411"/>
      <c r="K11" s="411"/>
      <c r="L11" s="411"/>
      <c r="M11" s="411"/>
      <c r="N11" s="411"/>
    </row>
    <row r="12" spans="1:14">
      <c r="A12" s="63"/>
      <c r="B12" s="97" t="s">
        <v>325</v>
      </c>
      <c r="C12" s="109"/>
      <c r="D12" s="411"/>
      <c r="E12" s="411"/>
      <c r="F12" s="411"/>
      <c r="G12" s="411"/>
      <c r="H12" s="411"/>
      <c r="I12" s="411"/>
      <c r="J12" s="411"/>
      <c r="K12" s="411"/>
      <c r="L12" s="411"/>
      <c r="M12" s="411"/>
      <c r="N12" s="411"/>
    </row>
    <row r="13" spans="1:14">
      <c r="A13" s="63"/>
      <c r="B13" s="306" t="s">
        <v>326</v>
      </c>
      <c r="C13" s="109"/>
      <c r="D13" s="411"/>
      <c r="E13" s="411"/>
      <c r="F13" s="411"/>
      <c r="G13" s="411"/>
      <c r="H13" s="411"/>
      <c r="I13" s="411"/>
      <c r="J13" s="411"/>
      <c r="K13" s="411"/>
      <c r="L13" s="411"/>
      <c r="M13" s="411"/>
      <c r="N13" s="411"/>
    </row>
    <row r="14" spans="1:14" ht="14.25">
      <c r="A14" s="63"/>
      <c r="B14" s="97" t="s">
        <v>328</v>
      </c>
      <c r="C14" s="109"/>
      <c r="D14" s="411"/>
      <c r="E14" s="411"/>
      <c r="F14" s="411"/>
      <c r="G14" s="411"/>
      <c r="H14" s="411"/>
      <c r="I14" s="411"/>
      <c r="J14" s="411"/>
      <c r="K14" s="411"/>
      <c r="L14" s="411"/>
      <c r="M14" s="411"/>
      <c r="N14" s="411"/>
    </row>
    <row r="15" spans="1:14">
      <c r="A15" s="63"/>
      <c r="B15" s="97" t="s">
        <v>329</v>
      </c>
      <c r="C15" s="109"/>
      <c r="D15" s="411"/>
      <c r="E15" s="411"/>
      <c r="F15" s="411"/>
      <c r="G15" s="411"/>
      <c r="H15" s="411"/>
      <c r="I15" s="411"/>
      <c r="J15" s="411"/>
      <c r="K15" s="411"/>
      <c r="L15" s="411"/>
      <c r="M15" s="411"/>
      <c r="N15" s="411"/>
    </row>
    <row r="16" spans="1:14">
      <c r="A16" s="63"/>
      <c r="B16" s="97" t="s">
        <v>330</v>
      </c>
      <c r="C16" s="109"/>
      <c r="D16" s="411"/>
      <c r="E16" s="411"/>
      <c r="F16" s="411"/>
      <c r="G16" s="411"/>
      <c r="H16" s="411"/>
      <c r="I16" s="411"/>
      <c r="J16" s="411"/>
      <c r="K16" s="411"/>
      <c r="L16" s="411"/>
      <c r="M16" s="411"/>
      <c r="N16" s="411"/>
    </row>
    <row r="17" spans="1:14">
      <c r="A17" s="63"/>
      <c r="B17" s="97" t="s">
        <v>331</v>
      </c>
      <c r="C17" s="109"/>
      <c r="D17" s="411"/>
      <c r="E17" s="411"/>
      <c r="F17" s="411"/>
      <c r="G17" s="411"/>
      <c r="H17" s="411"/>
      <c r="I17" s="411"/>
      <c r="J17" s="411"/>
      <c r="K17" s="411"/>
      <c r="L17" s="411"/>
      <c r="M17" s="411"/>
      <c r="N17" s="411"/>
    </row>
    <row r="18" spans="1:14">
      <c r="A18" s="1"/>
      <c r="B18" s="3"/>
      <c r="C18" s="91"/>
      <c r="D18" s="411"/>
      <c r="E18" s="411"/>
      <c r="F18" s="411"/>
      <c r="G18" s="411"/>
      <c r="H18" s="411"/>
      <c r="I18" s="411"/>
      <c r="J18" s="411"/>
      <c r="K18" s="411"/>
      <c r="L18" s="411"/>
      <c r="M18" s="411"/>
      <c r="N18" s="411"/>
    </row>
    <row r="19" spans="1:14" ht="14.25">
      <c r="A19" s="63"/>
      <c r="B19" s="305" t="s">
        <v>335</v>
      </c>
      <c r="C19" s="109"/>
      <c r="D19" s="411"/>
      <c r="E19" s="411"/>
      <c r="F19" s="411"/>
      <c r="G19" s="411"/>
      <c r="H19" s="411"/>
      <c r="I19" s="411"/>
      <c r="J19" s="411"/>
      <c r="K19" s="411"/>
      <c r="L19" s="411"/>
      <c r="M19" s="411"/>
      <c r="N19" s="411"/>
    </row>
    <row r="20" spans="1:14" ht="14.25">
      <c r="A20" s="63"/>
      <c r="B20" s="306" t="s">
        <v>327</v>
      </c>
      <c r="C20" s="109"/>
      <c r="D20" s="411"/>
      <c r="E20" s="411"/>
      <c r="F20" s="411"/>
      <c r="G20" s="411"/>
      <c r="H20" s="411"/>
      <c r="I20" s="411"/>
      <c r="J20" s="411"/>
      <c r="K20" s="411"/>
      <c r="L20" s="411"/>
      <c r="M20" s="411"/>
      <c r="N20" s="411"/>
    </row>
    <row r="21" spans="1:14">
      <c r="A21" s="63"/>
      <c r="B21" s="97" t="s">
        <v>324</v>
      </c>
      <c r="C21" s="109"/>
      <c r="D21" s="411"/>
      <c r="E21" s="411"/>
      <c r="F21" s="411"/>
      <c r="G21" s="411"/>
      <c r="H21" s="411"/>
      <c r="I21" s="411"/>
      <c r="J21" s="411"/>
      <c r="K21" s="411"/>
      <c r="L21" s="411"/>
      <c r="M21" s="411"/>
      <c r="N21" s="411"/>
    </row>
    <row r="22" spans="1:14">
      <c r="A22" s="63"/>
      <c r="B22" s="97" t="s">
        <v>325</v>
      </c>
      <c r="C22" s="109"/>
      <c r="D22" s="411"/>
      <c r="E22" s="411"/>
      <c r="F22" s="411"/>
      <c r="G22" s="411"/>
      <c r="H22" s="411"/>
      <c r="I22" s="411"/>
      <c r="J22" s="411"/>
      <c r="K22" s="411"/>
      <c r="L22" s="411"/>
      <c r="M22" s="411"/>
      <c r="N22" s="411"/>
    </row>
    <row r="23" spans="1:14">
      <c r="A23" s="63"/>
      <c r="B23" s="306" t="s">
        <v>326</v>
      </c>
      <c r="C23" s="109"/>
      <c r="D23" s="411"/>
      <c r="E23" s="411"/>
      <c r="F23" s="411"/>
      <c r="G23" s="411"/>
      <c r="H23" s="411"/>
      <c r="I23" s="411"/>
      <c r="J23" s="411"/>
      <c r="K23" s="411"/>
      <c r="L23" s="411"/>
      <c r="M23" s="411"/>
      <c r="N23" s="411"/>
    </row>
    <row r="24" spans="1:14" ht="14.25">
      <c r="A24" s="63"/>
      <c r="B24" s="97" t="s">
        <v>328</v>
      </c>
      <c r="C24" s="109"/>
      <c r="D24" s="411"/>
      <c r="E24" s="411"/>
      <c r="F24" s="411"/>
      <c r="G24" s="411"/>
      <c r="H24" s="411"/>
      <c r="I24" s="411"/>
      <c r="J24" s="411"/>
      <c r="K24" s="411"/>
      <c r="L24" s="411"/>
      <c r="M24" s="411"/>
      <c r="N24" s="411"/>
    </row>
    <row r="25" spans="1:14">
      <c r="A25" s="63"/>
      <c r="B25" s="97" t="s">
        <v>329</v>
      </c>
      <c r="C25" s="109"/>
      <c r="D25" s="411"/>
      <c r="E25" s="411"/>
      <c r="F25" s="411"/>
      <c r="G25" s="411"/>
      <c r="H25" s="411"/>
      <c r="I25" s="411"/>
      <c r="J25" s="411"/>
      <c r="K25" s="411"/>
      <c r="L25" s="411"/>
      <c r="M25" s="411"/>
      <c r="N25" s="411"/>
    </row>
    <row r="26" spans="1:14">
      <c r="A26" s="63"/>
      <c r="B26" s="97" t="s">
        <v>330</v>
      </c>
      <c r="C26" s="109"/>
      <c r="D26" s="411"/>
      <c r="E26" s="411"/>
      <c r="F26" s="411"/>
      <c r="G26" s="411"/>
      <c r="H26" s="411"/>
      <c r="I26" s="411"/>
      <c r="J26" s="411"/>
      <c r="K26" s="411"/>
      <c r="L26" s="411"/>
      <c r="M26" s="411"/>
      <c r="N26" s="411"/>
    </row>
    <row r="27" spans="1:14">
      <c r="A27" s="63"/>
      <c r="B27" s="97" t="s">
        <v>331</v>
      </c>
      <c r="C27" s="109"/>
      <c r="D27" s="411"/>
      <c r="E27" s="411"/>
      <c r="F27" s="411"/>
      <c r="G27" s="411"/>
      <c r="H27" s="411"/>
      <c r="I27" s="411"/>
      <c r="J27" s="411"/>
      <c r="K27" s="411"/>
      <c r="L27" s="411"/>
      <c r="M27" s="411"/>
      <c r="N27" s="411"/>
    </row>
    <row r="28" spans="1:14">
      <c r="C28" s="307"/>
      <c r="D28" s="411"/>
      <c r="E28" s="411"/>
      <c r="F28" s="411"/>
      <c r="G28" s="411"/>
      <c r="H28" s="411"/>
      <c r="I28" s="411"/>
      <c r="J28" s="411"/>
      <c r="K28" s="411"/>
      <c r="L28" s="411"/>
      <c r="M28" s="411"/>
      <c r="N28" s="411"/>
    </row>
    <row r="29" spans="1:14" ht="14.25">
      <c r="A29" s="63"/>
      <c r="B29" s="305" t="s">
        <v>336</v>
      </c>
      <c r="C29" s="109"/>
      <c r="D29" s="411"/>
      <c r="E29" s="411"/>
      <c r="F29" s="411"/>
      <c r="G29" s="411"/>
      <c r="H29" s="411"/>
      <c r="I29" s="411"/>
      <c r="J29" s="411"/>
      <c r="K29" s="411"/>
      <c r="L29" s="411"/>
      <c r="M29" s="411"/>
      <c r="N29" s="411"/>
    </row>
    <row r="30" spans="1:14" ht="14.25">
      <c r="A30" s="63"/>
      <c r="B30" s="306" t="s">
        <v>327</v>
      </c>
      <c r="C30" s="109"/>
      <c r="D30" s="411"/>
      <c r="E30" s="411"/>
      <c r="F30" s="411"/>
      <c r="G30" s="411"/>
      <c r="H30" s="411"/>
      <c r="I30" s="411"/>
      <c r="J30" s="411"/>
      <c r="K30" s="411"/>
      <c r="L30" s="411"/>
      <c r="M30" s="411"/>
      <c r="N30" s="411"/>
    </row>
    <row r="31" spans="1:14">
      <c r="A31" s="63"/>
      <c r="B31" s="97" t="s">
        <v>324</v>
      </c>
      <c r="C31" s="109"/>
      <c r="D31" s="411"/>
      <c r="E31" s="411"/>
      <c r="F31" s="411"/>
      <c r="G31" s="411"/>
      <c r="H31" s="411"/>
      <c r="I31" s="411"/>
      <c r="J31" s="411"/>
      <c r="K31" s="411"/>
      <c r="L31" s="411"/>
      <c r="M31" s="411"/>
      <c r="N31" s="411"/>
    </row>
    <row r="32" spans="1:14">
      <c r="A32" s="63"/>
      <c r="B32" s="97" t="s">
        <v>325</v>
      </c>
      <c r="C32" s="109"/>
      <c r="D32" s="411"/>
      <c r="E32" s="411"/>
      <c r="F32" s="411"/>
      <c r="G32" s="411"/>
      <c r="H32" s="411"/>
      <c r="I32" s="411"/>
      <c r="J32" s="411"/>
      <c r="K32" s="411"/>
      <c r="L32" s="411"/>
      <c r="M32" s="411"/>
      <c r="N32" s="411"/>
    </row>
    <row r="33" spans="1:14">
      <c r="A33" s="63"/>
      <c r="B33" s="306" t="s">
        <v>326</v>
      </c>
      <c r="C33" s="109"/>
      <c r="D33" s="411"/>
      <c r="E33" s="411"/>
      <c r="F33" s="411"/>
      <c r="G33" s="411"/>
      <c r="H33" s="411"/>
      <c r="I33" s="411"/>
      <c r="J33" s="411"/>
      <c r="K33" s="411"/>
      <c r="L33" s="411"/>
      <c r="M33" s="411"/>
      <c r="N33" s="411"/>
    </row>
    <row r="34" spans="1:14" ht="14.25">
      <c r="A34" s="63"/>
      <c r="B34" s="97" t="s">
        <v>328</v>
      </c>
      <c r="C34" s="109"/>
      <c r="D34" s="411"/>
      <c r="E34" s="411"/>
      <c r="F34" s="411"/>
      <c r="G34" s="411"/>
      <c r="H34" s="411"/>
      <c r="I34" s="411"/>
      <c r="J34" s="411"/>
      <c r="K34" s="411"/>
      <c r="L34" s="411"/>
      <c r="M34" s="411"/>
      <c r="N34" s="411"/>
    </row>
    <row r="35" spans="1:14">
      <c r="A35" s="63"/>
      <c r="B35" s="97" t="s">
        <v>329</v>
      </c>
      <c r="C35" s="109"/>
      <c r="D35" s="411"/>
      <c r="E35" s="411"/>
      <c r="F35" s="411"/>
      <c r="G35" s="411"/>
      <c r="H35" s="411"/>
      <c r="I35" s="411"/>
      <c r="J35" s="411"/>
      <c r="K35" s="411"/>
      <c r="L35" s="411"/>
      <c r="M35" s="411"/>
      <c r="N35" s="411"/>
    </row>
    <row r="36" spans="1:14">
      <c r="A36" s="63"/>
      <c r="B36" s="97" t="s">
        <v>330</v>
      </c>
      <c r="C36" s="109"/>
      <c r="D36" s="411"/>
      <c r="E36" s="411"/>
      <c r="F36" s="411"/>
      <c r="G36" s="411"/>
      <c r="H36" s="411"/>
      <c r="I36" s="411"/>
      <c r="J36" s="411"/>
      <c r="K36" s="411"/>
      <c r="L36" s="411"/>
      <c r="M36" s="411"/>
      <c r="N36" s="411"/>
    </row>
    <row r="37" spans="1:14">
      <c r="A37" s="63"/>
      <c r="B37" s="97" t="s">
        <v>331</v>
      </c>
      <c r="C37" s="109"/>
      <c r="D37" s="109"/>
      <c r="E37" s="109"/>
      <c r="F37" s="109"/>
      <c r="G37" s="109"/>
      <c r="H37" s="109"/>
      <c r="I37" s="109"/>
      <c r="J37" s="109"/>
      <c r="K37" s="109"/>
      <c r="L37" s="109"/>
      <c r="M37" s="109"/>
      <c r="N37" s="109"/>
    </row>
    <row r="39" spans="1:14" ht="14.25">
      <c r="B39" s="10" t="s">
        <v>339</v>
      </c>
    </row>
    <row r="40" spans="1:14" ht="14.25">
      <c r="B40" s="10" t="s">
        <v>338</v>
      </c>
    </row>
    <row r="41" spans="1:14" ht="14.25">
      <c r="B41" s="10" t="s">
        <v>337</v>
      </c>
    </row>
    <row r="46" spans="1:14">
      <c r="L46" s="409" t="s">
        <v>208</v>
      </c>
      <c r="M46" s="409"/>
    </row>
  </sheetData>
  <mergeCells count="11">
    <mergeCell ref="A6:N6"/>
    <mergeCell ref="L46:M46"/>
    <mergeCell ref="C7:F7"/>
    <mergeCell ref="G7:J7"/>
    <mergeCell ref="K7:N7"/>
    <mergeCell ref="D10:N36"/>
    <mergeCell ref="A2:B2"/>
    <mergeCell ref="A3:B3"/>
    <mergeCell ref="C2:N2"/>
    <mergeCell ref="C3:N3"/>
    <mergeCell ref="A5:L5"/>
  </mergeCells>
  <phoneticPr fontId="0" type="noConversion"/>
  <pageMargins left="0.9" right="0.36" top="1" bottom="1" header="0.5" footer="0.5"/>
  <pageSetup paperSize="9" scale="61" orientation="portrait" r:id="rId1"/>
  <headerFooter>
    <oddFooter>&amp;CTariff Petition for determination of tariff for FY 2015-16, approval of estimate for 2014-15 and truing up for  FY 2012-13 to FY 2013-14 for RPH</oddFooter>
  </headerFooter>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N32"/>
  <sheetViews>
    <sheetView showGridLines="0" topLeftCell="C1" zoomScaleSheetLayoutView="80" workbookViewId="0">
      <selection activeCell="D9" sqref="D9:N24"/>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5"/>
      <c r="B1" s="105"/>
      <c r="C1" s="105"/>
      <c r="D1" s="105"/>
      <c r="E1" s="105"/>
    </row>
    <row r="2" spans="1:14">
      <c r="A2" s="400" t="str">
        <f>Index!A2:C2</f>
        <v>Name of Company:</v>
      </c>
      <c r="B2" s="400"/>
      <c r="C2" s="401" t="str">
        <f>Index!D2</f>
        <v>INDRAPRASTHA POWER GENERATION COMPANY LIMITED</v>
      </c>
      <c r="D2" s="401"/>
      <c r="E2" s="401"/>
      <c r="F2" s="401"/>
      <c r="G2" s="401"/>
      <c r="H2" s="401"/>
      <c r="I2" s="401"/>
      <c r="J2" s="401"/>
      <c r="K2" s="401"/>
      <c r="L2" s="401"/>
      <c r="M2" s="401"/>
      <c r="N2" s="401"/>
    </row>
    <row r="3" spans="1:14">
      <c r="A3" s="400" t="str">
        <f>Index!A3:C3</f>
        <v>Name of Plant/  Station:</v>
      </c>
      <c r="B3" s="400"/>
      <c r="C3" s="401" t="str">
        <f>Index!D3</f>
        <v>Rajghat Power House</v>
      </c>
      <c r="D3" s="401"/>
      <c r="E3" s="401"/>
      <c r="F3" s="401"/>
      <c r="G3" s="401"/>
      <c r="H3" s="401"/>
      <c r="I3" s="401"/>
      <c r="J3" s="401"/>
      <c r="K3" s="401"/>
      <c r="L3" s="401"/>
      <c r="M3" s="401"/>
      <c r="N3" s="401"/>
    </row>
    <row r="4" spans="1:14">
      <c r="A4" s="105"/>
      <c r="B4" s="105"/>
      <c r="C4" s="105"/>
      <c r="D4" s="105"/>
      <c r="E4" s="105"/>
    </row>
    <row r="5" spans="1:14">
      <c r="A5" s="402" t="str">
        <f>Index!D14</f>
        <v>Details of Foreign Equity</v>
      </c>
      <c r="B5" s="402"/>
      <c r="C5" s="402"/>
      <c r="D5" s="402"/>
      <c r="E5" s="402"/>
      <c r="F5" s="402"/>
      <c r="G5" s="402"/>
      <c r="H5" s="402"/>
      <c r="I5" s="402"/>
      <c r="J5" s="402"/>
      <c r="K5" s="402"/>
      <c r="L5" s="402"/>
      <c r="M5" s="52" t="s">
        <v>156</v>
      </c>
      <c r="N5" s="207" t="str">
        <f>Index!C14</f>
        <v>F7</v>
      </c>
    </row>
    <row r="6" spans="1:14">
      <c r="A6" s="408" t="s">
        <v>316</v>
      </c>
      <c r="B6" s="408"/>
      <c r="C6" s="408"/>
      <c r="D6" s="408"/>
      <c r="E6" s="408"/>
      <c r="F6" s="408"/>
      <c r="G6" s="408"/>
      <c r="H6" s="408"/>
      <c r="I6" s="408"/>
      <c r="J6" s="408"/>
      <c r="K6" s="408"/>
      <c r="L6" s="408"/>
      <c r="M6" s="408"/>
      <c r="N6" s="408"/>
    </row>
    <row r="7" spans="1:14">
      <c r="A7" s="31"/>
      <c r="B7" s="304" t="s">
        <v>18</v>
      </c>
      <c r="C7" s="410" t="s">
        <v>317</v>
      </c>
      <c r="D7" s="410"/>
      <c r="E7" s="410"/>
      <c r="F7" s="410"/>
      <c r="G7" s="410" t="s">
        <v>332</v>
      </c>
      <c r="H7" s="410"/>
      <c r="I7" s="410"/>
      <c r="J7" s="410"/>
      <c r="K7" s="410" t="s">
        <v>333</v>
      </c>
      <c r="L7" s="410"/>
      <c r="M7" s="410"/>
      <c r="N7" s="410"/>
    </row>
    <row r="8" spans="1:14" ht="38.25">
      <c r="A8" s="63"/>
      <c r="B8" s="97"/>
      <c r="C8" s="109" t="s">
        <v>318</v>
      </c>
      <c r="D8" s="109" t="s">
        <v>322</v>
      </c>
      <c r="E8" s="109" t="s">
        <v>320</v>
      </c>
      <c r="F8" s="109" t="s">
        <v>321</v>
      </c>
      <c r="G8" s="109" t="s">
        <v>318</v>
      </c>
      <c r="H8" s="109" t="s">
        <v>322</v>
      </c>
      <c r="I8" s="109" t="s">
        <v>320</v>
      </c>
      <c r="J8" s="109" t="s">
        <v>321</v>
      </c>
      <c r="K8" s="109" t="s">
        <v>318</v>
      </c>
      <c r="L8" s="109" t="s">
        <v>322</v>
      </c>
      <c r="M8" s="109" t="s">
        <v>320</v>
      </c>
      <c r="N8" s="109" t="s">
        <v>321</v>
      </c>
    </row>
    <row r="9" spans="1:14" ht="14.25">
      <c r="A9" s="63"/>
      <c r="B9" s="305" t="s">
        <v>334</v>
      </c>
      <c r="C9" s="109"/>
      <c r="D9" s="411" t="s">
        <v>744</v>
      </c>
      <c r="E9" s="411"/>
      <c r="F9" s="411"/>
      <c r="G9" s="411"/>
      <c r="H9" s="411"/>
      <c r="I9" s="411"/>
      <c r="J9" s="411"/>
      <c r="K9" s="411"/>
      <c r="L9" s="411"/>
      <c r="M9" s="411"/>
      <c r="N9" s="411"/>
    </row>
    <row r="10" spans="1:14">
      <c r="A10" s="63">
        <v>1</v>
      </c>
      <c r="B10" s="306" t="s">
        <v>340</v>
      </c>
      <c r="C10" s="109"/>
      <c r="D10" s="411"/>
      <c r="E10" s="411"/>
      <c r="F10" s="411"/>
      <c r="G10" s="411"/>
      <c r="H10" s="411"/>
      <c r="I10" s="411"/>
      <c r="J10" s="411"/>
      <c r="K10" s="411"/>
      <c r="L10" s="411"/>
      <c r="M10" s="411"/>
      <c r="N10" s="411"/>
    </row>
    <row r="11" spans="1:14">
      <c r="A11" s="63">
        <v>2</v>
      </c>
      <c r="B11" s="97"/>
      <c r="C11" s="109"/>
      <c r="D11" s="411"/>
      <c r="E11" s="411"/>
      <c r="F11" s="411"/>
      <c r="G11" s="411"/>
      <c r="H11" s="411"/>
      <c r="I11" s="411"/>
      <c r="J11" s="411"/>
      <c r="K11" s="411"/>
      <c r="L11" s="411"/>
      <c r="M11" s="411"/>
      <c r="N11" s="411"/>
    </row>
    <row r="12" spans="1:14">
      <c r="A12" s="63">
        <v>3</v>
      </c>
      <c r="B12" s="97"/>
      <c r="C12" s="109"/>
      <c r="D12" s="411"/>
      <c r="E12" s="411"/>
      <c r="F12" s="411"/>
      <c r="G12" s="411"/>
      <c r="H12" s="411"/>
      <c r="I12" s="411"/>
      <c r="J12" s="411"/>
      <c r="K12" s="411"/>
      <c r="L12" s="411"/>
      <c r="M12" s="411"/>
      <c r="N12" s="411"/>
    </row>
    <row r="13" spans="1:14">
      <c r="A13" s="63">
        <v>4</v>
      </c>
      <c r="B13" s="306"/>
      <c r="C13" s="109"/>
      <c r="D13" s="411"/>
      <c r="E13" s="411"/>
      <c r="F13" s="411"/>
      <c r="G13" s="411"/>
      <c r="H13" s="411"/>
      <c r="I13" s="411"/>
      <c r="J13" s="411"/>
      <c r="K13" s="411"/>
      <c r="L13" s="411"/>
      <c r="M13" s="411"/>
      <c r="N13" s="411"/>
    </row>
    <row r="14" spans="1:14">
      <c r="A14" s="1"/>
      <c r="B14" s="3"/>
      <c r="C14" s="91"/>
      <c r="D14" s="411"/>
      <c r="E14" s="411"/>
      <c r="F14" s="411"/>
      <c r="G14" s="411"/>
      <c r="H14" s="411"/>
      <c r="I14" s="411"/>
      <c r="J14" s="411"/>
      <c r="K14" s="411"/>
      <c r="L14" s="411"/>
      <c r="M14" s="411"/>
      <c r="N14" s="411"/>
    </row>
    <row r="15" spans="1:14" ht="14.25">
      <c r="A15" s="63"/>
      <c r="B15" s="305" t="s">
        <v>335</v>
      </c>
      <c r="C15" s="109"/>
      <c r="D15" s="411"/>
      <c r="E15" s="411"/>
      <c r="F15" s="411"/>
      <c r="G15" s="411"/>
      <c r="H15" s="411"/>
      <c r="I15" s="411"/>
      <c r="J15" s="411"/>
      <c r="K15" s="411"/>
      <c r="L15" s="411"/>
      <c r="M15" s="411"/>
      <c r="N15" s="411"/>
    </row>
    <row r="16" spans="1:14">
      <c r="A16" s="63">
        <v>1</v>
      </c>
      <c r="B16" s="306" t="s">
        <v>340</v>
      </c>
      <c r="C16" s="109"/>
      <c r="D16" s="411"/>
      <c r="E16" s="411"/>
      <c r="F16" s="411"/>
      <c r="G16" s="411"/>
      <c r="H16" s="411"/>
      <c r="I16" s="411"/>
      <c r="J16" s="411"/>
      <c r="K16" s="411"/>
      <c r="L16" s="411"/>
      <c r="M16" s="411"/>
      <c r="N16" s="411"/>
    </row>
    <row r="17" spans="1:14">
      <c r="A17" s="63">
        <v>2</v>
      </c>
      <c r="B17" s="97"/>
      <c r="C17" s="109"/>
      <c r="D17" s="411"/>
      <c r="E17" s="411"/>
      <c r="F17" s="411"/>
      <c r="G17" s="411"/>
      <c r="H17" s="411"/>
      <c r="I17" s="411"/>
      <c r="J17" s="411"/>
      <c r="K17" s="411"/>
      <c r="L17" s="411"/>
      <c r="M17" s="411"/>
      <c r="N17" s="411"/>
    </row>
    <row r="18" spans="1:14">
      <c r="A18" s="63">
        <v>3</v>
      </c>
      <c r="B18" s="97"/>
      <c r="C18" s="109"/>
      <c r="D18" s="411"/>
      <c r="E18" s="411"/>
      <c r="F18" s="411"/>
      <c r="G18" s="411"/>
      <c r="H18" s="411"/>
      <c r="I18" s="411"/>
      <c r="J18" s="411"/>
      <c r="K18" s="411"/>
      <c r="L18" s="411"/>
      <c r="M18" s="411"/>
      <c r="N18" s="411"/>
    </row>
    <row r="19" spans="1:14">
      <c r="A19" s="63">
        <v>4</v>
      </c>
      <c r="B19" s="306"/>
      <c r="C19" s="109"/>
      <c r="D19" s="411"/>
      <c r="E19" s="411"/>
      <c r="F19" s="411"/>
      <c r="G19" s="411"/>
      <c r="H19" s="411"/>
      <c r="I19" s="411"/>
      <c r="J19" s="411"/>
      <c r="K19" s="411"/>
      <c r="L19" s="411"/>
      <c r="M19" s="411"/>
      <c r="N19" s="411"/>
    </row>
    <row r="20" spans="1:14">
      <c r="C20" s="307"/>
      <c r="D20" s="411"/>
      <c r="E20" s="411"/>
      <c r="F20" s="411"/>
      <c r="G20" s="411"/>
      <c r="H20" s="411"/>
      <c r="I20" s="411"/>
      <c r="J20" s="411"/>
      <c r="K20" s="411"/>
      <c r="L20" s="411"/>
      <c r="M20" s="411"/>
      <c r="N20" s="411"/>
    </row>
    <row r="21" spans="1:14" ht="14.25">
      <c r="A21" s="63"/>
      <c r="B21" s="305" t="s">
        <v>336</v>
      </c>
      <c r="C21" s="109"/>
      <c r="D21" s="411"/>
      <c r="E21" s="411"/>
      <c r="F21" s="411"/>
      <c r="G21" s="411"/>
      <c r="H21" s="411"/>
      <c r="I21" s="411"/>
      <c r="J21" s="411"/>
      <c r="K21" s="411"/>
      <c r="L21" s="411"/>
      <c r="M21" s="411"/>
      <c r="N21" s="411"/>
    </row>
    <row r="22" spans="1:14">
      <c r="A22" s="63">
        <v>1</v>
      </c>
      <c r="B22" s="306" t="s">
        <v>340</v>
      </c>
      <c r="C22" s="109"/>
      <c r="D22" s="411"/>
      <c r="E22" s="411"/>
      <c r="F22" s="411"/>
      <c r="G22" s="411"/>
      <c r="H22" s="411"/>
      <c r="I22" s="411"/>
      <c r="J22" s="411"/>
      <c r="K22" s="411"/>
      <c r="L22" s="411"/>
      <c r="M22" s="411"/>
      <c r="N22" s="411"/>
    </row>
    <row r="23" spans="1:14">
      <c r="A23" s="63">
        <v>2</v>
      </c>
      <c r="B23" s="97"/>
      <c r="C23" s="109"/>
      <c r="D23" s="411"/>
      <c r="E23" s="411"/>
      <c r="F23" s="411"/>
      <c r="G23" s="411"/>
      <c r="H23" s="411"/>
      <c r="I23" s="411"/>
      <c r="J23" s="411"/>
      <c r="K23" s="411"/>
      <c r="L23" s="411"/>
      <c r="M23" s="411"/>
      <c r="N23" s="411"/>
    </row>
    <row r="24" spans="1:14">
      <c r="A24" s="63">
        <v>3</v>
      </c>
      <c r="B24" s="97"/>
      <c r="C24" s="109"/>
      <c r="D24" s="411"/>
      <c r="E24" s="411"/>
      <c r="F24" s="411"/>
      <c r="G24" s="411"/>
      <c r="H24" s="411"/>
      <c r="I24" s="411"/>
      <c r="J24" s="411"/>
      <c r="K24" s="411"/>
      <c r="L24" s="411"/>
      <c r="M24" s="411"/>
      <c r="N24" s="411"/>
    </row>
    <row r="25" spans="1:14">
      <c r="A25" s="63">
        <v>4</v>
      </c>
      <c r="B25" s="306"/>
      <c r="C25" s="109"/>
      <c r="D25" s="109"/>
      <c r="E25" s="109"/>
      <c r="F25" s="109"/>
      <c r="G25" s="109"/>
      <c r="H25" s="109"/>
      <c r="I25" s="109"/>
      <c r="J25" s="109"/>
      <c r="K25" s="109"/>
      <c r="L25" s="109"/>
      <c r="M25" s="109"/>
      <c r="N25" s="109"/>
    </row>
    <row r="27" spans="1:14" ht="14.25">
      <c r="B27" s="10" t="s">
        <v>339</v>
      </c>
    </row>
    <row r="28" spans="1:14" ht="14.25">
      <c r="B28" s="10" t="s">
        <v>341</v>
      </c>
    </row>
    <row r="29" spans="1:14">
      <c r="B29" s="10"/>
    </row>
    <row r="32" spans="1:14">
      <c r="L32" s="409" t="s">
        <v>208</v>
      </c>
      <c r="M32" s="409"/>
    </row>
  </sheetData>
  <mergeCells count="11">
    <mergeCell ref="A3:B3"/>
    <mergeCell ref="D9:N24"/>
    <mergeCell ref="C2:N2"/>
    <mergeCell ref="C3:N3"/>
    <mergeCell ref="A2:B2"/>
    <mergeCell ref="L32:M32"/>
    <mergeCell ref="A6:N6"/>
    <mergeCell ref="A5:L5"/>
    <mergeCell ref="C7:F7"/>
    <mergeCell ref="G7:J7"/>
    <mergeCell ref="K7:N7"/>
  </mergeCells>
  <phoneticPr fontId="0" type="noConversion"/>
  <pageMargins left="0.9" right="0.36" top="1" bottom="1" header="0.5" footer="0.5"/>
  <pageSetup paperSize="9" scale="61" orientation="portrait" r:id="rId1"/>
  <headerFooter>
    <oddFooter>&amp;LTariff Petition for determination of tariff for FY 2015-16, approval of estimate for 2014-15 and truing up for  FY 2012-13 to FY 2013-14 for RPH</oddFooter>
  </headerFooter>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D43"/>
  <sheetViews>
    <sheetView showGridLines="0" topLeftCell="A7" zoomScaleSheetLayoutView="80" workbookViewId="0">
      <selection activeCell="B7" sqref="B7"/>
    </sheetView>
  </sheetViews>
  <sheetFormatPr defaultRowHeight="12.75"/>
  <cols>
    <col min="1" max="1" width="3.42578125" style="10" bestFit="1" customWidth="1"/>
    <col min="2" max="2" width="73.7109375" style="10" bestFit="1" customWidth="1"/>
    <col min="3" max="4" width="28.7109375" style="10" customWidth="1"/>
    <col min="5" max="16384" width="9.140625" style="10"/>
  </cols>
  <sheetData>
    <row r="1" spans="1:4">
      <c r="A1" s="105"/>
      <c r="B1" s="105"/>
    </row>
    <row r="2" spans="1:4">
      <c r="A2" s="400" t="str">
        <f>Index!A2:C2</f>
        <v>Name of Company:</v>
      </c>
      <c r="B2" s="400"/>
      <c r="C2" s="401" t="str">
        <f>Index!D2</f>
        <v>INDRAPRASTHA POWER GENERATION COMPANY LIMITED</v>
      </c>
      <c r="D2" s="401"/>
    </row>
    <row r="3" spans="1:4">
      <c r="A3" s="400" t="str">
        <f>Index!A3:C3</f>
        <v>Name of Plant/  Station:</v>
      </c>
      <c r="B3" s="400"/>
      <c r="C3" s="401" t="str">
        <f>Index!D3</f>
        <v>Rajghat Power House</v>
      </c>
      <c r="D3" s="401"/>
    </row>
    <row r="4" spans="1:4">
      <c r="A4" s="105"/>
      <c r="B4" s="105"/>
    </row>
    <row r="5" spans="1:4" ht="12.75" customHeight="1">
      <c r="A5" s="429" t="str">
        <f>Index!D15</f>
        <v>Capital Cost Estimates and Schedule of Commissioning for New projects</v>
      </c>
      <c r="B5" s="429"/>
      <c r="C5" s="318" t="s">
        <v>156</v>
      </c>
      <c r="D5" s="52" t="str">
        <f>Index!C15</f>
        <v>F8</v>
      </c>
    </row>
    <row r="6" spans="1:4">
      <c r="A6" s="110"/>
      <c r="B6" s="110"/>
      <c r="C6" s="110"/>
    </row>
    <row r="7" spans="1:4" ht="12.75" customHeight="1">
      <c r="A7" s="31"/>
      <c r="B7" s="112" t="s">
        <v>342</v>
      </c>
      <c r="C7" s="421"/>
      <c r="D7" s="422"/>
    </row>
    <row r="8" spans="1:4">
      <c r="A8" s="63"/>
      <c r="B8" s="112" t="s">
        <v>343</v>
      </c>
      <c r="C8" s="421"/>
      <c r="D8" s="422"/>
    </row>
    <row r="9" spans="1:4">
      <c r="A9" s="63"/>
      <c r="B9" s="112"/>
      <c r="C9" s="119" t="s">
        <v>344</v>
      </c>
      <c r="D9" s="119" t="s">
        <v>345</v>
      </c>
    </row>
    <row r="10" spans="1:4" ht="25.5">
      <c r="A10" s="63"/>
      <c r="B10" s="112" t="s">
        <v>346</v>
      </c>
      <c r="C10" s="120" t="s">
        <v>359</v>
      </c>
      <c r="D10" s="120" t="s">
        <v>358</v>
      </c>
    </row>
    <row r="11" spans="1:4">
      <c r="A11" s="63"/>
      <c r="B11" s="112" t="s">
        <v>357</v>
      </c>
      <c r="C11" s="111"/>
      <c r="D11" s="111"/>
    </row>
    <row r="12" spans="1:4">
      <c r="A12" s="63"/>
      <c r="B12" s="122"/>
      <c r="C12" s="123"/>
      <c r="D12" s="124"/>
    </row>
    <row r="13" spans="1:4">
      <c r="A13" s="63"/>
      <c r="B13" s="415" t="s">
        <v>347</v>
      </c>
      <c r="C13" s="416"/>
      <c r="D13" s="417"/>
    </row>
    <row r="14" spans="1:4">
      <c r="A14" s="63"/>
      <c r="B14" s="112" t="s">
        <v>348</v>
      </c>
      <c r="C14" s="111"/>
      <c r="D14" s="111"/>
    </row>
    <row r="15" spans="1:4">
      <c r="A15" s="63"/>
      <c r="B15" s="112" t="s">
        <v>679</v>
      </c>
      <c r="C15" s="111"/>
      <c r="D15" s="111"/>
    </row>
    <row r="16" spans="1:4">
      <c r="A16" s="63"/>
      <c r="B16" s="121" t="s">
        <v>680</v>
      </c>
      <c r="C16" s="111"/>
      <c r="D16" s="111"/>
    </row>
    <row r="17" spans="1:4">
      <c r="A17" s="63"/>
      <c r="B17" s="412"/>
      <c r="C17" s="413"/>
      <c r="D17" s="414"/>
    </row>
    <row r="18" spans="1:4">
      <c r="A18" s="63"/>
      <c r="B18" s="415" t="s">
        <v>349</v>
      </c>
      <c r="C18" s="416"/>
      <c r="D18" s="417"/>
    </row>
    <row r="19" spans="1:4">
      <c r="A19" s="63"/>
      <c r="B19" s="112" t="s">
        <v>348</v>
      </c>
      <c r="C19" s="423" t="s">
        <v>744</v>
      </c>
      <c r="D19" s="424"/>
    </row>
    <row r="20" spans="1:4">
      <c r="A20" s="111"/>
      <c r="B20" s="112" t="s">
        <v>679</v>
      </c>
      <c r="C20" s="425"/>
      <c r="D20" s="426"/>
    </row>
    <row r="21" spans="1:4">
      <c r="A21" s="111"/>
      <c r="B21" s="115" t="s">
        <v>681</v>
      </c>
      <c r="C21" s="425"/>
      <c r="D21" s="426"/>
    </row>
    <row r="22" spans="1:4">
      <c r="A22" s="111"/>
      <c r="B22" s="115"/>
      <c r="C22" s="425"/>
      <c r="D22" s="426"/>
    </row>
    <row r="23" spans="1:4">
      <c r="A23" s="111"/>
      <c r="B23" s="112" t="s">
        <v>350</v>
      </c>
      <c r="C23" s="427"/>
      <c r="D23" s="428"/>
    </row>
    <row r="24" spans="1:4">
      <c r="A24" s="111"/>
      <c r="B24" s="412"/>
      <c r="C24" s="413"/>
      <c r="D24" s="414"/>
    </row>
    <row r="25" spans="1:4">
      <c r="A25" s="111"/>
      <c r="B25" s="415" t="s">
        <v>351</v>
      </c>
      <c r="C25" s="416"/>
      <c r="D25" s="417"/>
    </row>
    <row r="26" spans="1:4">
      <c r="A26" s="111"/>
      <c r="B26" s="112" t="s">
        <v>348</v>
      </c>
      <c r="C26" s="111"/>
      <c r="D26" s="111"/>
    </row>
    <row r="27" spans="1:4">
      <c r="A27" s="111"/>
      <c r="B27" s="112" t="s">
        <v>679</v>
      </c>
      <c r="C27" s="111"/>
      <c r="D27" s="111"/>
    </row>
    <row r="28" spans="1:4">
      <c r="A28" s="111"/>
      <c r="B28" s="115" t="s">
        <v>682</v>
      </c>
      <c r="C28" s="111"/>
      <c r="D28" s="111"/>
    </row>
    <row r="29" spans="1:4">
      <c r="A29" s="111"/>
      <c r="B29" s="415"/>
      <c r="C29" s="416"/>
      <c r="D29" s="417"/>
    </row>
    <row r="30" spans="1:4">
      <c r="A30" s="111"/>
      <c r="B30" s="418" t="s">
        <v>352</v>
      </c>
      <c r="C30" s="419"/>
      <c r="D30" s="420"/>
    </row>
    <row r="31" spans="1:4">
      <c r="A31" s="111"/>
      <c r="B31" s="112" t="s">
        <v>360</v>
      </c>
      <c r="C31" s="111"/>
      <c r="D31" s="111"/>
    </row>
    <row r="32" spans="1:4">
      <c r="A32" s="111"/>
      <c r="B32" s="112" t="s">
        <v>361</v>
      </c>
      <c r="C32" s="111"/>
      <c r="D32" s="111"/>
    </row>
    <row r="33" spans="1:4">
      <c r="A33" s="111"/>
      <c r="B33" s="116" t="s">
        <v>353</v>
      </c>
      <c r="C33" s="111"/>
      <c r="D33" s="111"/>
    </row>
    <row r="34" spans="1:4">
      <c r="A34" s="111"/>
      <c r="B34" s="116" t="s">
        <v>354</v>
      </c>
      <c r="C34" s="111"/>
      <c r="D34" s="111"/>
    </row>
    <row r="35" spans="1:4">
      <c r="A35" s="111"/>
      <c r="B35" s="112" t="s">
        <v>362</v>
      </c>
      <c r="C35" s="111"/>
      <c r="D35" s="111"/>
    </row>
    <row r="36" spans="1:4">
      <c r="A36" s="21"/>
      <c r="B36" s="21"/>
      <c r="C36" s="21"/>
      <c r="D36" s="21"/>
    </row>
    <row r="37" spans="1:4">
      <c r="A37" s="21"/>
      <c r="B37" s="21" t="s">
        <v>355</v>
      </c>
      <c r="C37" s="21"/>
      <c r="D37" s="21"/>
    </row>
    <row r="38" spans="1:4">
      <c r="A38" s="21"/>
      <c r="B38" s="21" t="s">
        <v>356</v>
      </c>
      <c r="C38" s="21"/>
      <c r="D38" s="21"/>
    </row>
    <row r="39" spans="1:4">
      <c r="A39" s="21"/>
      <c r="B39" s="21" t="s">
        <v>657</v>
      </c>
      <c r="C39" s="21"/>
      <c r="D39" s="21"/>
    </row>
    <row r="40" spans="1:4">
      <c r="A40" s="21"/>
      <c r="B40" s="21" t="s">
        <v>658</v>
      </c>
      <c r="C40" s="21"/>
      <c r="D40" s="21"/>
    </row>
    <row r="43" spans="1:4">
      <c r="D43" s="118" t="s">
        <v>208</v>
      </c>
    </row>
  </sheetData>
  <mergeCells count="15">
    <mergeCell ref="A2:B2"/>
    <mergeCell ref="A3:B3"/>
    <mergeCell ref="C2:D2"/>
    <mergeCell ref="C3:D3"/>
    <mergeCell ref="A5:B5"/>
    <mergeCell ref="B17:D17"/>
    <mergeCell ref="B18:D18"/>
    <mergeCell ref="B24:D24"/>
    <mergeCell ref="B30:D30"/>
    <mergeCell ref="C7:D7"/>
    <mergeCell ref="C8:D8"/>
    <mergeCell ref="B13:D13"/>
    <mergeCell ref="B25:D25"/>
    <mergeCell ref="B29:D29"/>
    <mergeCell ref="C19:D23"/>
  </mergeCells>
  <phoneticPr fontId="0" type="noConversion"/>
  <pageMargins left="0.9" right="0.36" top="1" bottom="1" header="0.5" footer="0.5"/>
  <pageSetup paperSize="9" scale="67" orientation="portrait" r:id="rId1"/>
  <headerFooter>
    <oddFooter>&amp;LTariff Petition for determination of tariff for FY 2015-16, approval of estimate for 2014-15 and truing up for  FY 2012-13 to FY 2013-14 for RPH</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39</vt:i4>
      </vt:variant>
    </vt:vector>
  </HeadingPairs>
  <TitlesOfParts>
    <vt:vector size="70" baseType="lpstr">
      <vt:lpstr>Index</vt:lpstr>
      <vt:lpstr>F1</vt:lpstr>
      <vt:lpstr>F2 </vt:lpstr>
      <vt:lpstr>F3</vt:lpstr>
      <vt:lpstr>F4 </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F20</vt:lpstr>
      <vt:lpstr>F21</vt:lpstr>
      <vt:lpstr>F22</vt:lpstr>
      <vt:lpstr>F23</vt:lpstr>
      <vt:lpstr>F24</vt:lpstr>
      <vt:lpstr>F25</vt:lpstr>
      <vt:lpstr>F26</vt:lpstr>
      <vt:lpstr>F27</vt:lpstr>
      <vt:lpstr>F27 (a)</vt:lpstr>
      <vt:lpstr>F28</vt:lpstr>
      <vt:lpstr>F29</vt:lpstr>
      <vt:lpstr>'F1'!Print_Area</vt:lpstr>
      <vt:lpstr>'F10'!Print_Area</vt:lpstr>
      <vt:lpstr>'F11'!Print_Area</vt:lpstr>
      <vt:lpstr>'F12'!Print_Area</vt:lpstr>
      <vt:lpstr>'F14'!Print_Area</vt:lpstr>
      <vt:lpstr>'F15'!Print_Area</vt:lpstr>
      <vt:lpstr>'F16'!Print_Area</vt:lpstr>
      <vt:lpstr>'F18'!Print_Area</vt:lpstr>
      <vt:lpstr>'F19'!Print_Area</vt:lpstr>
      <vt:lpstr>'F2 '!Print_Area</vt:lpstr>
      <vt:lpstr>'F20'!Print_Area</vt:lpstr>
      <vt:lpstr>'F21'!Print_Area</vt:lpstr>
      <vt:lpstr>'F22'!Print_Area</vt:lpstr>
      <vt:lpstr>'F23'!Print_Area</vt:lpstr>
      <vt:lpstr>'F24'!Print_Area</vt:lpstr>
      <vt:lpstr>'F25'!Print_Area</vt:lpstr>
      <vt:lpstr>'F26'!Print_Area</vt:lpstr>
      <vt:lpstr>'F27'!Print_Area</vt:lpstr>
      <vt:lpstr>'F27 (a)'!Print_Area</vt:lpstr>
      <vt:lpstr>'F28'!Print_Area</vt:lpstr>
      <vt:lpstr>'F29'!Print_Area</vt:lpstr>
      <vt:lpstr>'F3'!Print_Area</vt:lpstr>
      <vt:lpstr>'F4 '!Print_Area</vt:lpstr>
      <vt:lpstr>'F5'!Print_Area</vt:lpstr>
      <vt:lpstr>'F6'!Print_Area</vt:lpstr>
      <vt:lpstr>'F7'!Print_Area</vt:lpstr>
      <vt:lpstr>'F8'!Print_Area</vt:lpstr>
      <vt:lpstr>'F9'!Print_Area</vt:lpstr>
      <vt:lpstr>Index!Print_Area</vt:lpstr>
      <vt:lpstr>'F2 '!Print_Titles</vt:lpstr>
      <vt:lpstr>'F21'!Print_Titles</vt:lpstr>
      <vt:lpstr>'F22'!Print_Titles</vt:lpstr>
      <vt:lpstr>'F23'!Print_Titles</vt:lpstr>
      <vt:lpstr>'F24'!Print_Titles</vt:lpstr>
      <vt:lpstr>'F25'!Print_Titles</vt:lpstr>
      <vt:lpstr>'F26'!Print_Titles</vt:lpstr>
      <vt:lpstr>'F27'!Print_Titles</vt:lpstr>
      <vt:lpstr>'F27 (a)'!Print_Titles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2015-02-13T07:32:24Z</cp:lastPrinted>
  <dcterms:created xsi:type="dcterms:W3CDTF">2003-08-04T10:43:23Z</dcterms:created>
  <dcterms:modified xsi:type="dcterms:W3CDTF">2015-02-16T05:20:17Z</dcterms:modified>
</cp:coreProperties>
</file>